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HM7UVq+rqFNUm/W7swUVBlY0Z6GuRotqMFkOe0VZ7CZ2JQsbluAZILLbi3J3yx5279vhQ5SGyzcKGCcGTHRFSA==" workbookSaltValue="BnhX/jFgDbq4jCSQ0n+MN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Y32" i="20"/>
  <c r="AG32" i="20"/>
  <c r="T32" i="21"/>
  <c r="F32" i="20"/>
  <c r="G26" i="14"/>
  <c r="S32" i="20"/>
  <c r="K32" i="20"/>
  <c r="O17" i="11"/>
  <c r="AJ32" i="20"/>
  <c r="G30" i="14"/>
  <c r="G23" i="14"/>
  <c r="U18" i="11"/>
  <c r="L32" i="20"/>
  <c r="H32" i="20"/>
  <c r="AF32" i="20"/>
  <c r="AQ32" i="21"/>
  <c r="BF17" i="8" l="1"/>
  <c r="B14" i="7"/>
  <c r="F16" i="11"/>
  <c r="AQ16" i="11" s="1"/>
  <c r="F11" i="16"/>
  <c r="BL11" i="16" s="1"/>
  <c r="BG17" i="13"/>
  <c r="R8" i="9"/>
  <c r="S13" i="14" s="1"/>
  <c r="V13" i="14" s="1"/>
  <c r="AA10" i="16"/>
  <c r="AA20" i="16"/>
  <c r="U10" i="21"/>
  <c r="AZ20" i="11"/>
  <c r="L13" i="2"/>
  <c r="L29" i="2"/>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D32" i="20"/>
  <c r="AC32" i="20"/>
  <c r="AV32" i="20"/>
  <c r="AP32" i="20"/>
  <c r="AQ32" i="20"/>
  <c r="AA32" i="20"/>
  <c r="AN32" i="20"/>
  <c r="O10" i="11"/>
  <c r="U17" i="11"/>
  <c r="W32" i="21"/>
  <c r="K17" i="12" l="1"/>
  <c r="X12" i="16"/>
  <c r="L21" i="2"/>
  <c r="AZ28" i="11"/>
  <c r="V21" i="16"/>
  <c r="AA9" i="16"/>
  <c r="X21" i="17"/>
  <c r="T17" i="11"/>
  <c r="I9" i="12"/>
  <c r="T22" i="11"/>
  <c r="R22" i="14"/>
  <c r="R23" i="14" s="1"/>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J32" i="11"/>
  <c r="AJ32" i="17"/>
  <c r="AI32" i="11"/>
  <c r="V32" i="21"/>
  <c r="BG32" i="16"/>
  <c r="P32" i="16"/>
  <c r="AI32" i="21"/>
  <c r="AL32" i="16"/>
  <c r="BD32" i="16"/>
  <c r="J32" i="11"/>
  <c r="K32" i="16"/>
  <c r="AG32" i="21"/>
  <c r="BO32" i="16"/>
  <c r="AY32" i="11"/>
  <c r="N32" i="16"/>
  <c r="R32" i="16"/>
  <c r="AM32" i="11"/>
  <c r="Q32" i="17"/>
  <c r="J32" i="16"/>
  <c r="AN32" i="16"/>
  <c r="AE32" i="17"/>
  <c r="F32" i="16"/>
  <c r="AK32" i="11"/>
  <c r="E32" i="12"/>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G32" i="16"/>
  <c r="BH32" i="16"/>
  <c r="M32" i="11"/>
  <c r="F32" i="17"/>
  <c r="AW32" i="16"/>
  <c r="O32" i="16"/>
  <c r="T32" i="17"/>
  <c r="AZ32" i="11"/>
  <c r="G32" i="12"/>
  <c r="AJ32" i="21"/>
  <c r="AC32" i="16"/>
  <c r="AA32" i="21"/>
  <c r="AE32" i="16"/>
  <c r="AH32" i="16"/>
  <c r="E32" i="17"/>
  <c r="S32" i="11"/>
  <c r="BE32" i="21"/>
  <c r="BC32" i="16"/>
  <c r="AU32" i="21"/>
  <c r="AG32" i="17"/>
  <c r="AC32" i="17"/>
  <c r="AF32" i="16"/>
  <c r="BK32" i="16"/>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<sst xmlns="http://schemas.openxmlformats.org/spreadsheetml/2006/main" count="2682" uniqueCount="1193">
  <si>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</si>
  <si>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</si>
  <si>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</si>
  <si>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</si>
  <si>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</si>
  <si>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</si>
  <si>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</si>
  <si>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</si>
  <si>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</si>
  <si>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</si>
  <si>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</si>
  <si>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</si>
  <si>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</si>
  <si>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</si>
  <si>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</si>
  <si>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</si>
  <si>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</si>
  <si>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</si>
  <si>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</si>
  <si>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</si>
  <si>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</si>
  <si>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</si>
  <si>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</si>
  <si>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</si>
  <si>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</si>
  <si>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</si>
  <si>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</si>
  <si>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</si>
  <si>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</si>
  <si>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</si>
  <si>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</si>
  <si>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</si>
  <si>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</si>
  <si>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</si>
  <si>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</si>
  <si>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</si>
  <si>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</si>
  <si>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</si>
  <si>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</si>
  <si>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</si>
  <si>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</si>
  <si>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</si>
  <si>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</si>
  <si>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</si>
  <si>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</si>
  <si>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</si>
  <si>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</si>
  <si>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</si>
  <si>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</si>
  <si>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</si>
  <si>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</si>
  <si>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</si>
  <si>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</si>
  <si>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</si>
  <si>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</si>
  <si>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</si>
  <si>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</si>
  <si>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</si>
  <si>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</si>
  <si>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</si>
  <si>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</si>
  <si>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</si>
  <si>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</si>
  <si>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</si>
  <si>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</si>
  <si>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</si>
  <si>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</si>
  <si>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</si>
  <si>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</si>
  <si>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</si>
  <si>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</si>
  <si>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</si>
  <si>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</si>
  <si>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</si>
  <si>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</si>
  <si>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</si>
  <si>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</si>
  <si>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</si>
  <si>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</si>
  <si>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</si>
  <si>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</si>
  <si>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</si>
  <si>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</si>
  <si>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</si>
  <si>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</si>
  <si>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</si>
  <si>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</si>
  <si>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</si>
  <si>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</si>
  <si>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</si>
  <si>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</si>
  <si>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</si>
  <si>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</si>
  <si>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</si>
  <si>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</si>
  <si>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</si>
  <si>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</si>
  <si>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</si>
  <si>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</si>
  <si>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</si>
  <si>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</si>
  <si>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</si>
  <si>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</si>
  <si>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</si>
  <si>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</si>
  <si>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</si>
  <si>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</si>
  <si>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</si>
  <si>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</si>
  <si>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</si>
  <si>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</si>
  <si>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</si>
  <si>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</si>
  <si>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</si>
  <si>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</si>
  <si>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</si>
  <si>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</si>
  <si>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</si>
  <si>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</si>
  <si>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</si>
  <si>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</si>
  <si>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</si>
  <si>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</si>
  <si>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</si>
  <si>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</si>
  <si>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</si>
  <si>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</si>
  <si>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</si>
  <si>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</si>
  <si>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</si>
  <si>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</si>
  <si>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</si>
  <si>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</si>
  <si>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</si>
  <si>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</si>
  <si>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</si>
  <si>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</si>
  <si>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</si>
  <si>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</si>
  <si>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</si>
  <si>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</si>
  <si>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</si>
  <si>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</si>
  <si>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</si>
  <si>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</si>
  <si>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</si>
  <si>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</si>
  <si>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</si>
  <si>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</si>
  <si>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</si>
  <si>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</si>
  <si>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</si>
  <si>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</si>
  <si>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</si>
  <si>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</si>
  <si>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</si>
  <si>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</si>
  <si>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</si>
  <si>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</si>
  <si>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</si>
  <si>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</si>
  <si>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</si>
  <si>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</si>
  <si>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</si>
  <si>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</si>
  <si>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</si>
  <si>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</si>
  <si>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</si>
  <si>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</si>
  <si>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</si>
  <si>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</si>
  <si>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</si>
  <si>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</si>
  <si>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</si>
  <si>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</si>
  <si>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</si>
  <si>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</si>
  <si>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</si>
  <si>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</si>
  <si>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</si>
  <si>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</si>
  <si>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</si>
  <si>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</si>
  <si>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</si>
  <si>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</si>
  <si>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</si>
  <si>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</si>
  <si>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</si>
  <si>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</si>
  <si>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</si>
  <si>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</si>
  <si>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</si>
  <si>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</si>
  <si>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</si>
  <si>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</si>
  <si>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</si>
  <si>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</si>
  <si>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</si>
  <si>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</si>
  <si>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</si>
  <si>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</si>
  <si>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</si>
  <si>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</si>
  <si>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</si>
  <si>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</si>
  <si>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</si>
  <si>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</si>
  <si>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</si>
  <si>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</si>
  <si>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</si>
  <si>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</si>
  <si>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</si>
  <si>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</si>
  <si>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</si>
  <si>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</si>
  <si>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</si>
  <si>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</si>
  <si>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</si>
  <si>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</si>
  <si>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</si>
  <si>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</si>
  <si>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</si>
  <si>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</si>
  <si>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</si>
  <si>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</si>
  <si>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</si>
  <si>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</si>
  <si>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</si>
  <si>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</si>
  <si>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</si>
  <si>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</si>
  <si>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</si>
  <si>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</si>
  <si>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</si>
  <si>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</si>
  <si>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</si>
  <si>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</si>
  <si>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</si>
  <si>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</si>
  <si>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</si>
  <si>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</si>
  <si>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</si>
  <si>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</si>
  <si>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</si>
  <si>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</si>
  <si>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</si>
  <si>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</si>
  <si>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</si>
  <si>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</si>
  <si>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</si>
  <si>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</si>
  <si>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</si>
  <si>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</si>
  <si>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</si>
  <si>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</si>
  <si>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</si>
  <si>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</si>
  <si>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</si>
  <si>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</si>
  <si>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</si>
  <si>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</si>
  <si>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</si>
  <si>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</si>
  <si>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</si>
  <si>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</si>
  <si>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</si>
  <si>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</si>
  <si>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</si>
  <si>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</si>
  <si>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</si>
  <si>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</si>
  <si>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</si>
  <si>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</si>
  <si>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</si>
  <si>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</si>
  <si>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</si>
  <si>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</si>
  <si>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</si>
  <si>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</si>
  <si>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</si>
  <si>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</si>
  <si>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</si>
  <si>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</si>
  <si>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</si>
  <si>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</si>
  <si>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</si>
  <si>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</si>
  <si>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</si>
  <si>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</si>
  <si>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</si>
  <si>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</si>
  <si>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</si>
  <si>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</si>
  <si>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</si>
  <si>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</si>
  <si>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</si>
  <si>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</si>
  <si>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</si>
  <si>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</si>
  <si>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</si>
  <si>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</si>
  <si>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</si>
  <si>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</si>
  <si>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</si>
  <si>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</si>
  <si>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</si>
  <si>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</si>
  <si>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</si>
  <si>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</si>
  <si>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</si>
  <si>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</si>
  <si>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</si>
  <si>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</si>
  <si>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</si>
  <si>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</si>
  <si>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</si>
  <si>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</si>
  <si>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</si>
  <si>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</si>
  <si>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</si>
  <si>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</si>
  <si>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</si>
  <si>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</si>
  <si>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</si>
  <si>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</si>
  <si>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</si>
  <si>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</si>
  <si>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</si>
  <si>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</si>
  <si>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</si>
  <si>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</si>
  <si>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</si>
  <si>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</si>
  <si>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</si>
  <si>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</si>
  <si>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</si>
  <si>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</si>
  <si>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</si>
  <si>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</si>
  <si>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</si>
  <si>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</si>
  <si>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</si>
  <si>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</si>
  <si>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</si>
  <si>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</si>
  <si>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</si>
  <si>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</si>
  <si>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</si>
  <si>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</si>
  <si>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</si>
  <si>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</si>
  <si>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</si>
  <si>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</si>
  <si>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</si>
  <si>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</si>
  <si>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</si>
  <si>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</si>
  <si>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</si>
  <si>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</si>
  <si>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</si>
  <si>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</si>
  <si>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</si>
  <si>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</si>
  <si>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</si>
  <si>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</si>
  <si>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</si>
  <si>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</si>
  <si>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</si>
  <si>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</si>
  <si>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</si>
  <si>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</si>
  <si>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</si>
  <si>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</si>
  <si>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</si>
  <si>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</si>
  <si>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</si>
  <si>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</si>
  <si>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</si>
  <si>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</si>
  <si>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</si>
  <si>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</si>
  <si>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</si>
  <si>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</si>
  <si>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</si>
  <si>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</si>
  <si>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</si>
  <si>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</si>
  <si>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</si>
  <si>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</si>
  <si>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</si>
  <si>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</si>
  <si>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</si>
  <si>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</si>
  <si>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</si>
  <si>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</si>
  <si>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</si>
  <si>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</si>
  <si>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</si>
  <si>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</si>
  <si>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</si>
  <si>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</si>
  <si>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</si>
  <si>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</si>
  <si>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</si>
  <si>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</si>
  <si>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</si>
  <si>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</si>
  <si>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</si>
  <si>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</si>
  <si>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</si>
  <si>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</si>
  <si>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</si>
  <si>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</si>
  <si>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</si>
  <si>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</si>
  <si>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</si>
  <si>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</si>
  <si>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</si>
  <si>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</si>
  <si>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</si>
  <si>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</si>
  <si>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</si>
  <si>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</si>
  <si>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</si>
  <si>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</si>
  <si>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</si>
  <si>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</si>
  <si>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</si>
  <si>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</si>
  <si>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</si>
  <si>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</si>
  <si>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</si>
  <si>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</si>
  <si>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</si>
  <si>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</si>
  <si>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</si>
  <si>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</si>
  <si>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</si>
  <si>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</si>
  <si>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</si>
  <si>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</si>
  <si>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</si>
  <si>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</si>
  <si>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</si>
  <si>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</si>
  <si>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</si>
  <si>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</si>
  <si>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</si>
  <si>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</si>
  <si>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</si>
  <si>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</si>
  <si>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</si>
  <si>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</si>
  <si>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</si>
  <si>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</si>
  <si>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</si>
  <si>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</si>
  <si>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</si>
  <si>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</si>
  <si>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</si>
  <si>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</si>
  <si>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</si>
  <si>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</si>
  <si>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</si>
  <si>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</si>
  <si>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</si>
  <si>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</si>
  <si>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</si>
  <si>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</si>
  <si>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</si>
  <si>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</si>
  <si>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</si>
  <si>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</si>
  <si>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</si>
  <si>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</si>
  <si>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</si>
  <si>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</si>
  <si>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</si>
  <si>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</si>
  <si>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</si>
  <si>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</si>
  <si>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</si>
  <si>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</si>
  <si>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</si>
  <si>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</si>
  <si>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</si>
  <si>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</si>
  <si>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</si>
  <si>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</si>
  <si>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</si>
  <si>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</si>
  <si>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</si>
  <si>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</si>
  <si>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</si>
  <si>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</si>
  <si>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</si>
  <si>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</si>
  <si>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</si>
  <si>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</si>
  <si>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</si>
  <si>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</si>
  <si>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</si>
  <si>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</si>
  <si>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</si>
  <si>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</si>
  <si>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</si>
  <si>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</si>
  <si>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</si>
  <si>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</si>
  <si>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</si>
  <si>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</si>
  <si>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</si>
  <si>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</si>
  <si>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</si>
  <si>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</si>
  <si>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</si>
  <si>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</si>
  <si>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</si>
  <si>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</si>
  <si>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</si>
  <si>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</si>
  <si>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</si>
  <si>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</si>
  <si>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</si>
  <si>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</si>
  <si>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</si>
  <si>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</si>
  <si>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</si>
  <si>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</si>
  <si>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</si>
  <si>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</si>
  <si>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</si>
  <si>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</si>
  <si>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</si>
  <si>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</si>
  <si>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</si>
  <si>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</si>
  <si>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</si>
  <si>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</si>
  <si>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</si>
  <si>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</si>
  <si>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</si>
  <si>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</si>
  <si>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</si>
  <si>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</si>
  <si>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</si>
  <si>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</si>
  <si>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</si>
  <si>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</si>
  <si>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</si>
  <si>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</si>
  <si>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</si>
  <si>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</si>
  <si>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</si>
  <si>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</si>
  <si>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</si>
  <si>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</si>
  <si>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</si>
  <si>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</si>
  <si>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</si>
  <si>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</si>
  <si>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</si>
  <si>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</si>
  <si>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</si>
  <si>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</si>
  <si>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</si>
  <si>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</si>
  <si>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</si>
  <si>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</si>
  <si>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</si>
  <si>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</si>
  <si>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</si>
  <si>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</si>
  <si>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</si>
  <si>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</si>
  <si>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</si>
  <si>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</si>
  <si>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</si>
  <si>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</si>
  <si>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</si>
  <si>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</si>
  <si>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</si>
  <si>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</si>
  <si>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</si>
  <si>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</si>
  <si>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</si>
  <si>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</si>
  <si>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</si>
  <si>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</si>
  <si>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</si>
  <si>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</si>
  <si>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</si>
  <si>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</si>
  <si>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</si>
  <si>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</si>
  <si>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</si>
  <si>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</si>
  <si>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</si>
  <si>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</si>
  <si>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</si>
  <si>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</si>
  <si>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</si>
  <si>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</si>
  <si>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</si>
  <si>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</si>
  <si>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</si>
  <si>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</si>
  <si>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</si>
  <si>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</si>
  <si>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</si>
  <si>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</si>
  <si>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</si>
  <si>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</si>
  <si>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</si>
  <si>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</si>
  <si>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</si>
  <si>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</si>
  <si>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</si>
  <si>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</si>
  <si>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</si>
  <si>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</si>
  <si>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</si>
  <si>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</si>
  <si>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</si>
  <si>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</si>
  <si>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</si>
  <si>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</si>
  <si>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</si>
  <si>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</si>
  <si>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</si>
  <si>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</si>
  <si>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</si>
  <si>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</si>
  <si>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</si>
  <si>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</si>
  <si>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</si>
  <si>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</si>
  <si>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</si>
  <si>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</si>
  <si>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</si>
  <si>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</si>
  <si>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</si>
  <si>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</si>
  <si>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</si>
  <si>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</si>
  <si>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</si>
  <si>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</si>
  <si>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</si>
  <si>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</si>
  <si>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</si>
  <si>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</si>
  <si>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</si>
  <si>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</si>
  <si>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</si>
  <si>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</si>
  <si>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</si>
  <si>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</si>
  <si>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</si>
  <si>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</si>
  <si>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</si>
  <si>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</si>
  <si>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</si>
  <si>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</si>
  <si>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</si>
  <si>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</si>
  <si>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</si>
  <si>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</si>
  <si>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</si>
  <si>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</si>
  <si>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</si>
  <si>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</si>
  <si>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</si>
  <si>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</si>
  <si>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</si>
  <si>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</si>
  <si>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</si>
  <si>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</si>
  <si>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</si>
  <si>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</si>
  <si>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</si>
  <si>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</si>
  <si>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</si>
  <si>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</si>
  <si>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</si>
  <si>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</si>
  <si>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</si>
  <si>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</si>
  <si>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</si>
  <si>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</si>
  <si>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</si>
  <si>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</si>
  <si>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</si>
  <si>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</si>
  <si>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</si>
  <si>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</si>
  <si>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</si>
  <si>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</si>
  <si>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</si>
  <si>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</si>
  <si>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</si>
  <si>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</si>
  <si>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</si>
  <si>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</si>
  <si>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</si>
  <si>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</si>
  <si>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</si>
  <si>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</si>
  <si>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</si>
  <si>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</si>
  <si>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</si>
  <si>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</si>
  <si>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</si>
  <si>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</si>
  <si>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</si>
  <si>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</si>
  <si>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</si>
  <si>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</si>
  <si>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</si>
  <si>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</si>
  <si>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</si>
  <si>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</si>
  <si>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</si>
  <si>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</si>
  <si>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</si>
  <si>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</si>
  <si>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</si>
  <si>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</si>
  <si>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</si>
  <si>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</si>
  <si>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</si>
  <si>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</si>
  <si>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</si>
  <si>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</si>
  <si>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</si>
  <si>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</si>
  <si>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</si>
  <si>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</si>
  <si>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</si>
  <si>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</si>
  <si>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</si>
  <si>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</si>
  <si>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</si>
  <si>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</si>
  <si>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</si>
  <si>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</si>
  <si>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</si>
  <si>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</si>
  <si>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</si>
  <si>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</si>
  <si>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</si>
  <si>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</si>
  <si>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</si>
  <si>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</si>
  <si>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</si>
  <si>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</si>
  <si>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</si>
  <si>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</si>
  <si>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</si>
  <si>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</si>
  <si>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</si>
  <si>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</si>
  <si>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</si>
  <si>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</si>
  <si>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</si>
  <si>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</si>
  <si>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</si>
  <si>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</si>
  <si>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</si>
  <si>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</si>
  <si>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</si>
  <si>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</si>
  <si>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</si>
  <si>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</si>
  <si>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</si>
  <si>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</si>
  <si>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</si>
  <si>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</si>
  <si>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</si>
  <si>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</si>
  <si>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</si>
  <si>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</si>
  <si>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</si>
  <si>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</si>
  <si>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</si>
  <si>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</si>
  <si>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</si>
  <si>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</si>
  <si>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</si>
  <si>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</si>
  <si>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</si>
  <si>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</si>
  <si>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</si>
  <si>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</si>
  <si>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</si>
  <si>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</si>
  <si>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</si>
  <si>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</si>
  <si>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</si>
  <si>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</si>
  <si>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</si>
  <si>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</si>
  <si>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</si>
  <si>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</si>
  <si>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</si>
  <si>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</si>
  <si>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</si>
  <si>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</si>
  <si>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</si>
  <si>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</si>
  <si>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</si>
  <si>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</si>
  <si>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</si>
  <si>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</si>
  <si>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</si>
  <si>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</si>
  <si>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</si>
  <si>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</si>
  <si>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</si>
  <si>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</si>
  <si>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</si>
  <si>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</si>
  <si>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</si>
  <si>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</si>
  <si>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</si>
  <si>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</si>
  <si>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</si>
  <si>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</si>
  <si>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</si>
  <si>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</si>
  <si>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</si>
  <si>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</si>
  <si>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</si>
  <si>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</si>
  <si>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</si>
  <si>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</si>
  <si>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</si>
  <si>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</si>
  <si>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</si>
  <si>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</si>
  <si>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</si>
  <si>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</si>
  <si>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</si>
  <si>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</si>
  <si>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</si>
  <si>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</si>
  <si>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</si>
  <si>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</si>
  <si>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</si>
  <si>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</si>
  <si>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</si>
  <si>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</si>
  <si>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</si>
  <si>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</si>
  <si>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</si>
  <si>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</si>
  <si>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</si>
  <si>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</si>
  <si>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</si>
  <si>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</si>
  <si>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</si>
  <si>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</si>
  <si>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</si>
  <si>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</si>
  <si>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</si>
  <si>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</si>
  <si>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</si>
  <si>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</si>
  <si>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</si>
  <si>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</si>
  <si>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</si>
  <si>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</si>
  <si>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</si>
  <si>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</si>
  <si>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</si>
  <si>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</si>
  <si>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</si>
  <si>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</si>
  <si>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</si>
  <si>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</si>
  <si>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</si>
  <si>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</si>
  <si>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</si>
  <si>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</si>
  <si>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</si>
  <si>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</si>
  <si>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</si>
  <si>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</si>
  <si>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</si>
  <si>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</si>
  <si>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</si>
  <si>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</si>
  <si>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</si>
  <si>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</si>
  <si>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</si>
  <si>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</si>
  <si>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</si>
  <si>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</si>
  <si>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</si>
  <si>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</si>
  <si>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</si>
  <si>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</si>
  <si>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</si>
  <si>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</si>
  <si>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</si>
  <si>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</si>
  <si>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</si>
  <si>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</si>
  <si>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</si>
  <si>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</si>
  <si>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</si>
  <si>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</si>
  <si>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</si>
  <si>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</si>
  <si>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</si>
  <si>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</si>
  <si>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</si>
  <si>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</si>
  <si>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</si>
  <si>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</si>
  <si>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</si>
  <si>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</si>
  <si>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</si>
  <si>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</si>
  <si>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</si>
  <si>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</si>
  <si>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</si>
  <si>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</si>
  <si>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</si>
  <si>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</si>
  <si>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</si>
  <si>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</si>
  <si>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</si>
  <si>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</si>
  <si>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</si>
  <si>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</si>
  <si>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</si>
  <si>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</si>
  <si>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</si>
  <si>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</si>
  <si>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</si>
  <si>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</si>
  <si>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</si>
  <si>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</si>
  <si>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</si>
  <si>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</si>
  <si>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</si>
  <si>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</si>
  <si>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</si>
  <si>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</si>
  <si>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</si>
  <si>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</si>
  <si>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</si>
  <si>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</si>
  <si>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</si>
  <si>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</si>
  <si>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</si>
  <si>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</si>
  <si>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</si>
  <si>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</si>
  <si>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</si>
  <si>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</si>
  <si>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</si>
  <si>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</si>
  <si>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</si>
  <si>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</si>
  <si>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</si>
  <si>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</si>
  <si>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</si>
  <si>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</si>
  <si>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</si>
  <si>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</si>
  <si>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</si>
  <si>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</si>
  <si>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</si>
  <si>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</si>
  <si>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</si>
  <si>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</si>
  <si>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</si>
  <si>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</si>
  <si>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</si>
  <si>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</si>
  <si>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</si>
  <si>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</si>
  <si>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</si>
  <si>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</si>
  <si>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</si>
  <si>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</si>
  <si>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</si>
  <si>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</si>
  <si>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</si>
  <si>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</si>
  <si>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</si>
  <si>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</si>
  <si>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</si>
  <si>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</si>
  <si>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</si>
  <si>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</si>
  <si>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</si>
  <si>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</si>
  <si>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</si>
  <si>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</si>
  <si>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</si>
  <si>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</si>
  <si>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</si>
  <si>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</si>
  <si>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</si>
  <si>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</si>
  <si>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</si>
  <si>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</si>
  <si>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</si>
  <si>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</si>
  <si>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</si>
  <si>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</si>
  <si>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</si>
  <si>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</si>
  <si>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</si>
  <si>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</si>
  <si>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</si>
  <si>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</si>
  <si>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</si>
  <si>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</si>
  <si>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</si>
  <si>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</si>
  <si>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</si>
  <si>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</si>
  <si>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</si>
  <si>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</si>
  <si>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</si>
  <si>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</si>
  <si>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</si>
  <si>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</si>
  <si>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</si>
  <si>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</si>
  <si>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</si>
  <si>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</si>
  <si>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</si>
  <si>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</si>
  <si>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</si>
  <si>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</si>
  <si>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</si>
  <si>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</si>
  <si>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</si>
  <si>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</si>
  <si>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</si>
  <si>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</si>
  <si>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</si>
  <si>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</si>
  <si>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</si>
  <si>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</si>
  <si>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</si>
  <si>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</si>
  <si>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</si>
  <si>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</si>
  <si>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</si>
  <si>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</si>
  <si>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</si>
  <si>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</si>
  <si>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</si>
  <si>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</si>
  <si>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</si>
  <si>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</si>
  <si>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</si>
  <si>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</si>
  <si>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</si>
  <si>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</si>
  <si>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</si>
  <si>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</si>
  <si>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</si>
  <si>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</si>
  <si>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</si>
  <si>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</si>
  <si>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</si>
  <si>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</si>
  <si>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</si>
  <si>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</si>
  <si>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</si>
  <si>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</si>
  <si>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</si>
  <si>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</si>
  <si>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</si>
  <si>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</si>
  <si>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</si>
  <si>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</si>
  <si>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</si>
  <si>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</si>
  <si>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</si>
  <si>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</si>
  <si>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</si>
  <si>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</si>
  <si>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</si>
  <si>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</si>
  <si>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</si>
  <si>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</si>
  <si>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</si>
  <si>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</si>
  <si>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</si>
  <si>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</si>
  <si>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</si>
  <si>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</si>
  <si>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</si>
  <si>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</si>
  <si>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</si>
  <si>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</si>
  <si>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</si>
  <si>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</si>
  <si>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</si>
  <si>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</si>
  <si>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</si>
  <si>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</si>
  <si>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</si>
  <si>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</si>
  <si>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</si>
  <si>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</si>
  <si>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</si>
  <si>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</si>
  <si>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</si>
  <si>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</si>
  <si>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</si>
  <si>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</si>
  <si>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</si>
  <si>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</si>
  <si>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</si>
  <si>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</si>
  <si>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</si>
  <si>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</si>
  <si>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</si>
  <si>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</si>
  <si>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</si>
  <si>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</si>
  <si>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</si>
  <si>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</si>
  <si>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</si>
  <si>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</si>
  <si>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</si>
  <si>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</si>
  <si>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</si>
  <si>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</si>
  <si>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</si>
  <si>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</si>
  <si>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</si>
  <si>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</si>
  <si>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</si>
  <si>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</si>
  <si>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</si>
  <si>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</si>
  <si>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</si>
  <si>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</si>
  <si>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</si>
  <si>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</si>
  <si>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</si>
  <si>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</si>
  <si>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</si>
  <si>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</si>
  <si>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</si>
  <si>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</si>
  <si>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</si>
  <si>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</si>
  <si>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</si>
  <si>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</si>
  <si>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</si>
  <si>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</si>
  <si>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</si>
  <si>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</si>
  <si>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</si>
  <si>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</si>
  <si>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</si>
  <si>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</si>
  <si>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</si>
  <si>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</si>
  <si>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</si>
  <si>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</si>
  <si>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</si>
  <si>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</si>
  <si>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</si>
  <si>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</si>
  <si>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</si>
  <si>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</si>
  <si>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</si>
  <si>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</si>
  <si>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</si>
  <si>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</si>
  <si>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</si>
  <si>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</si>
  <si>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</si>
  <si>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</si>
  <si>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</si>
  <si>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</si>
  <si>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</si>
  <si>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</si>
  <si>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</si>
  <si>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ALICANTE-ALACANT</t>
  </si>
  <si>
    <t>Resumenes por Partidos Judiciales</t>
  </si>
  <si>
    <t>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</si>
</sst>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gkKB+DmJ4a6J1MbowWnZJrNb5puhk4PPDqgmoRehB8tPQuI8F7k3QkyXsg88U6DlPFUnVqTsEIUL8e8aSHNyA==" saltValue="S1kB8tR+LQlKMWJZ/DTd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52</v>
      </c>
      <c r="D10" s="239">
        <f>IF(ISNUMBER(Datos!I10),Datos!I10," - ")</f>
        <v>52</v>
      </c>
      <c r="E10" s="240">
        <f>IF(ISNUMBER(Datos!J10),Datos!J10," - ")</f>
        <v>2</v>
      </c>
      <c r="F10" s="240">
        <f>IF(ISNUMBER(Datos!K10),Datos!K10," - ")</f>
        <v>15</v>
      </c>
      <c r="G10" s="1390" t="str">
        <f>IF(Datos!E10&lt;&gt;"",Datos!E10,Datos!D10)</f>
        <v>37</v>
      </c>
      <c r="H10" s="241">
        <f>IF(ISNUMBER(Datos!L10),Datos!L10," - ")</f>
        <v>39</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28.6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28.940615058324497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52</v>
      </c>
      <c r="D14" s="1407">
        <f>SUBTOTAL(9,D9:D13)</f>
        <v>52</v>
      </c>
      <c r="E14" s="1408">
        <f>SUBTOTAL(9,E9:E13)</f>
        <v>2</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701</v>
      </c>
      <c r="D17" s="239">
        <f>IF(ISNUMBER(IF(D_I="SI",Datos!I17,Datos!I17+Datos!AC17)),IF(D_I="SI",Datos!I17,Datos!I17+Datos!AC17)," - ")</f>
        <v>639</v>
      </c>
      <c r="E17" s="240">
        <f>IF(ISNUMBER(IF(D_I="SI",Datos!J17,Datos!J17+Datos!AD17)),IF(D_I="SI",Datos!J17,Datos!J17+Datos!AD17)," - ")</f>
        <v>758</v>
      </c>
      <c r="F17" s="240">
        <f>IF(ISNUMBER(IF(D_I="SI",Datos!K17,Datos!K17+Datos!AE17)),IF(D_I="SI",Datos!K17,Datos!K17+Datos!AE17)," - ")</f>
        <v>753</v>
      </c>
      <c r="G17" s="1390" t="str">
        <f>IF(Datos!E17&lt;&gt;"",Datos!E17,Datos!D17)</f>
        <v>04</v>
      </c>
      <c r="H17" s="241">
        <f>IF(ISNUMBER(IF(D_I="SI",Datos!L17,Datos!L17+Datos!AF17)),IF(D_I="SI",Datos!L17,Datos!L17+Datos!AF17)," - ")</f>
        <v>706</v>
      </c>
      <c r="I17" s="1400" t="str">
        <f>IF(ISNUMBER(Datos!AS17/Datos!BM17),Datos!AS17/Datos!BM17," - ")</f>
        <v xml:space="preserve"> - </v>
      </c>
      <c r="J17" s="1401">
        <f>IF(ISNUMBER(Datos!BY17/Datos!CN17),Datos!BY17/Datos!CN17," - ")</f>
        <v>0</v>
      </c>
      <c r="K17" s="244">
        <f t="shared" si="3"/>
        <v>7.1326676176890159E-3</v>
      </c>
      <c r="L17" s="1402">
        <f>IF(ISNUMBER(NºAsuntos!I17/NºAsuntos!G17),(NºAsuntos!I17/NºAsuntos!G17)*11," - ")</f>
        <v>10.313413014608233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123</v>
      </c>
      <c r="D18" s="239">
        <f>IF(ISNUMBER(IF(D_I="SI",Datos!I18,Datos!I18+Datos!AC18)),IF(D_I="SI",Datos!I18,Datos!I18+Datos!AC18)," - ")</f>
        <v>123</v>
      </c>
      <c r="E18" s="240">
        <f>IF(ISNUMBER(IF(D_I="SI",Datos!J18,Datos!J18+Datos!AD18)),IF(D_I="SI",Datos!J18,Datos!J18+Datos!AD18)," - ")</f>
        <v>76</v>
      </c>
      <c r="F18" s="240">
        <f>IF(ISNUMBER(IF(D_I="SI",Datos!K18,Datos!K18+Datos!AE18)),IF(D_I="SI",Datos!K18,Datos!K18+Datos!AE18)," - ")</f>
        <v>124</v>
      </c>
      <c r="G18" s="1390" t="str">
        <f>IF(Datos!E18&lt;&gt;"",Datos!E18,Datos!D18)</f>
        <v>37</v>
      </c>
      <c r="H18" s="241">
        <f>IF(ISNUMBER(IF(D_I="SI",Datos!L18,Datos!L18+Datos!AF18)),IF(D_I="SI",Datos!L18,Datos!L18+Datos!AF18)," - ")</f>
        <v>75</v>
      </c>
      <c r="I18" s="1400" t="str">
        <f>IF(ISNUMBER(Datos!AS18/Datos!BM18),Datos!AS18/Datos!BM18," - ")</f>
        <v xml:space="preserve"> - </v>
      </c>
      <c r="J18" s="1401" t="str">
        <f>IF(ISNUMBER((Datos!BY18+Datos!BZ18)/Datos!CN18),(Datos!BY18+Datos!BZ18)/Datos!CN18," - ")</f>
        <v xml:space="preserve"> - </v>
      </c>
      <c r="K18" s="244">
        <f t="shared" si="3"/>
        <v>-0.3902439024390244</v>
      </c>
      <c r="L18" s="1402">
        <f>IF(ISNUMBER(NºAsuntos!I18/NºAsuntos!G18),(NºAsuntos!I18/NºAsuntos!G18)*11," - ")</f>
        <v>6.653225806451613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824</v>
      </c>
      <c r="D23" s="1407">
        <f>SUBTOTAL(9,D16:D22)</f>
        <v>762</v>
      </c>
      <c r="E23" s="1408">
        <f>SUBTOTAL(9,E16:E22)</f>
        <v>834</v>
      </c>
      <c r="F23" s="1408">
        <f>SUBTOTAL(9,F16:F22)</f>
        <v>877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876</v>
      </c>
      <c r="D31" s="1435">
        <f>SUBTOTAL(9,D9:D30)</f>
        <v>814</v>
      </c>
      <c r="E31" s="1436">
        <f>SUBTOTAL(9,E9:E30)</f>
        <v>836</v>
      </c>
      <c r="F31" s="1436">
        <f>SUBTOTAL(9,F9:F30)</f>
        <v>892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xx63VrbTE+z5PHNoRmEPX893N39XwUDg0ET2vcSUDuYg+IlZz+y2JidEZxfDdpz6o168KDslavpxyeeTJVR2Q==" saltValue="Ke+3u0ASk7jBSUFa9qRCn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wtMYmbKWTMp1LlT6wdF9p7LOf7VsNKuOQyfsHdYlS0D2GMWFlxfNmmVcU1eYWI11hGswWrdA/rgJ1HCsVUYJQ==" saltValue="bUQCDvzAYTzdZ62Clx1Y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52</v>
      </c>
      <c r="J10" s="194">
        <v>2</v>
      </c>
      <c r="K10" s="194">
        <v>15</v>
      </c>
      <c r="L10" s="194">
        <v>39</v>
      </c>
      <c r="M10" s="194">
        <v>13</v>
      </c>
      <c r="N10" s="194">
        <v>3</v>
      </c>
      <c r="O10" s="194">
        <v>0</v>
      </c>
      <c r="P10" s="194">
        <v>0</v>
      </c>
      <c r="Q10" s="194">
        <v>1</v>
      </c>
      <c r="R10" s="194">
        <v>104</v>
      </c>
      <c r="S10" s="194">
        <v>52</v>
      </c>
      <c r="T10" s="194">
        <v>9</v>
      </c>
      <c r="U10" s="194">
        <v>4</v>
      </c>
      <c r="V10" s="194">
        <v>57</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52</v>
      </c>
      <c r="AZ10" s="139">
        <f t="shared" si="0"/>
        <v>9</v>
      </c>
      <c r="BA10" s="139">
        <f t="shared" si="0"/>
        <v>4</v>
      </c>
      <c r="BB10" s="139">
        <f t="shared" si="0"/>
        <v>57</v>
      </c>
      <c r="BC10" s="135">
        <f t="shared" si="0"/>
        <v>4</v>
      </c>
      <c r="BD10" s="136">
        <f>IF(ISNUMBER(BA10/AZ10),BA10/AZ10," - ")</f>
        <v>0.44444444444444442</v>
      </c>
      <c r="BE10" s="137">
        <f>IF(ISNUMBER(BB10/BA10),BB10/BA10, " - ")</f>
        <v>14.25</v>
      </c>
      <c r="BF10" s="137">
        <f>IF(ISNUMBER(BC10/BA10),BC10/BA10, " - ")</f>
        <v>1</v>
      </c>
      <c r="BG10" s="209">
        <f>IF(ISNUMBER((AY10+AZ10)/BA10),(AY10+AZ10)/BA10," - ")</f>
        <v>15.25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2343</v>
      </c>
      <c r="J12" s="196">
        <v>936</v>
      </c>
      <c r="K12" s="196">
        <v>832</v>
      </c>
      <c r="L12" s="196">
        <v>2447</v>
      </c>
      <c r="M12" s="196">
        <v>197</v>
      </c>
      <c r="N12" s="196">
        <v>452</v>
      </c>
      <c r="O12" s="194">
        <v>432</v>
      </c>
      <c r="P12" s="196">
        <v>180</v>
      </c>
      <c r="Q12" s="196">
        <v>241</v>
      </c>
      <c r="R12" s="196">
        <v>6245</v>
      </c>
      <c r="S12" s="196">
        <v>2666</v>
      </c>
      <c r="T12" s="196">
        <v>759</v>
      </c>
      <c r="U12" s="196">
        <v>840</v>
      </c>
      <c r="V12" s="196">
        <v>2585</v>
      </c>
      <c r="W12" s="196">
        <v>123</v>
      </c>
      <c r="X12" s="202">
        <v>419</v>
      </c>
      <c r="Y12" s="204">
        <v>49</v>
      </c>
      <c r="Z12" s="194">
        <v>96</v>
      </c>
      <c r="AA12" s="194">
        <v>111</v>
      </c>
      <c r="AB12" s="194">
        <v>34</v>
      </c>
      <c r="AC12" s="196">
        <v>0</v>
      </c>
      <c r="AD12" s="196">
        <v>0</v>
      </c>
      <c r="AE12" s="196">
        <v>0</v>
      </c>
      <c r="AF12" s="202">
        <v>0</v>
      </c>
      <c r="AG12" s="215">
        <v>80</v>
      </c>
      <c r="AH12" s="196">
        <v>106</v>
      </c>
      <c r="AI12" s="196">
        <v>108</v>
      </c>
      <c r="AJ12" s="216">
        <v>78</v>
      </c>
      <c r="AK12" s="195">
        <v>0</v>
      </c>
      <c r="AL12" s="196">
        <v>0</v>
      </c>
      <c r="AM12" s="196">
        <v>0</v>
      </c>
      <c r="AN12" s="202">
        <v>0</v>
      </c>
      <c r="AO12" s="283">
        <v>4</v>
      </c>
      <c r="AP12" s="168">
        <v>4</v>
      </c>
      <c r="AQ12" s="168">
        <v>4</v>
      </c>
      <c r="AR12" s="167">
        <v>4</v>
      </c>
      <c r="AS12" s="381" t="s">
        <v>1075</v>
      </c>
      <c r="AT12" s="216"/>
      <c r="AU12" s="215"/>
      <c r="AV12" s="216"/>
      <c r="AW12" s="215"/>
      <c r="AX12" s="216"/>
      <c r="AY12" s="136">
        <f t="shared" si="1"/>
        <v>2746</v>
      </c>
      <c r="AZ12" s="137">
        <f t="shared" si="1"/>
        <v>865</v>
      </c>
      <c r="BA12" s="137">
        <f t="shared" si="1"/>
        <v>948</v>
      </c>
      <c r="BB12" s="137">
        <f t="shared" si="1"/>
        <v>2663</v>
      </c>
      <c r="BC12" s="135">
        <f>IF(ISNUMBER(X12),X12," - ")</f>
        <v>419</v>
      </c>
      <c r="BD12" s="136">
        <f t="shared" si="2"/>
        <v>1.0959537572254334</v>
      </c>
      <c r="BE12" s="137">
        <f t="shared" si="3"/>
        <v>2.8090717299578061</v>
      </c>
      <c r="BF12" s="137">
        <f t="shared" si="4"/>
        <v>0.44198312236286919</v>
      </c>
      <c r="BG12" s="209">
        <f t="shared" si="5"/>
        <v>3.8090717299578061</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2395</v>
      </c>
      <c r="J14" s="197">
        <f t="shared" si="7"/>
        <v>938</v>
      </c>
      <c r="K14" s="197">
        <f t="shared" si="7"/>
        <v>847</v>
      </c>
      <c r="L14" s="197">
        <f t="shared" si="7"/>
        <v>2486</v>
      </c>
      <c r="M14" s="197">
        <f t="shared" si="7"/>
        <v>210</v>
      </c>
      <c r="N14" s="197">
        <f t="shared" si="7"/>
        <v>455</v>
      </c>
      <c r="O14" s="197">
        <f t="shared" si="7"/>
        <v>432</v>
      </c>
      <c r="P14" s="197">
        <f t="shared" si="7"/>
        <v>180</v>
      </c>
      <c r="Q14" s="197">
        <f t="shared" si="7"/>
        <v>242</v>
      </c>
      <c r="R14" s="197">
        <f t="shared" si="7"/>
        <v>6349</v>
      </c>
      <c r="S14" s="197">
        <f t="shared" si="7"/>
        <v>2718</v>
      </c>
      <c r="T14" s="197">
        <f t="shared" si="7"/>
        <v>768</v>
      </c>
      <c r="U14" s="197">
        <f t="shared" si="7"/>
        <v>844</v>
      </c>
      <c r="V14" s="197">
        <f t="shared" si="7"/>
        <v>2642</v>
      </c>
      <c r="W14" s="197">
        <f t="shared" si="7"/>
        <v>127</v>
      </c>
      <c r="X14" s="197">
        <f t="shared" si="7"/>
        <v>419</v>
      </c>
      <c r="Y14" s="197">
        <f t="shared" si="7"/>
        <v>49</v>
      </c>
      <c r="Z14" s="197">
        <f t="shared" si="7"/>
        <v>96</v>
      </c>
      <c r="AA14" s="197">
        <f t="shared" si="7"/>
        <v>111</v>
      </c>
      <c r="AB14" s="197">
        <f t="shared" si="7"/>
        <v>34</v>
      </c>
      <c r="AC14" s="197">
        <f t="shared" si="7"/>
        <v>0</v>
      </c>
      <c r="AD14" s="197">
        <f t="shared" si="7"/>
        <v>0</v>
      </c>
      <c r="AE14" s="197">
        <f t="shared" si="7"/>
        <v>0</v>
      </c>
      <c r="AF14" s="197">
        <f>SUBTOTAL(9,AF9:AF13)</f>
        <v>0</v>
      </c>
      <c r="AG14" s="197">
        <f t="shared" ref="AG14:AT14" si="8">SUBTOTAL(9,AG8:AG13)</f>
        <v>80</v>
      </c>
      <c r="AH14" s="197">
        <f t="shared" si="8"/>
        <v>106</v>
      </c>
      <c r="AI14" s="197">
        <f t="shared" si="8"/>
        <v>108</v>
      </c>
      <c r="AJ14" s="197">
        <f t="shared" si="8"/>
        <v>78</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2798</v>
      </c>
      <c r="AZ14" s="197">
        <f>SUBTOTAL(9,AZ8:AZ13)</f>
        <v>874</v>
      </c>
      <c r="BA14" s="197">
        <f>SUBTOTAL(9,BA8:BA13)</f>
        <v>952</v>
      </c>
      <c r="BB14" s="197">
        <f>SUBTOTAL(9,BB8:BB13)</f>
        <v>2720</v>
      </c>
      <c r="BC14" s="197">
        <f>SUBTOTAL(9,BC8:BC13)</f>
        <v>423</v>
      </c>
      <c r="BD14" s="219">
        <f>IF(ISNUMBER(BA14/AZ14),BA14/AZ14," - ")</f>
        <v>1.0892448512585813</v>
      </c>
      <c r="BE14" s="220">
        <f>IF(ISNUMBER(BB14/BA14),BB14/BA14, " - ")</f>
        <v>2.8571428571428572</v>
      </c>
      <c r="BF14" s="220">
        <f>IF(ISNUMBER(BC14/BA14),BC14/BA14, " - ")</f>
        <v>0.44432773109243695</v>
      </c>
      <c r="BG14" s="221">
        <f>IF(ISNUMBER((AY14+AZ14)/BA14),(AY14+AZ14)/BA14," - ")</f>
        <v>3.8571428571428572</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639</v>
      </c>
      <c r="J17" s="196">
        <v>758</v>
      </c>
      <c r="K17" s="196">
        <v>753</v>
      </c>
      <c r="L17" s="196">
        <v>706</v>
      </c>
      <c r="M17" s="196">
        <v>72</v>
      </c>
      <c r="N17" s="196">
        <v>420</v>
      </c>
      <c r="O17" s="194">
        <v>16</v>
      </c>
      <c r="P17" s="196">
        <v>17</v>
      </c>
      <c r="Q17" s="196">
        <v>28</v>
      </c>
      <c r="R17" s="196">
        <v>190</v>
      </c>
      <c r="S17" s="196">
        <v>856</v>
      </c>
      <c r="T17" s="196">
        <v>711</v>
      </c>
      <c r="U17" s="196">
        <v>634</v>
      </c>
      <c r="V17" s="196">
        <v>958</v>
      </c>
      <c r="W17" s="196">
        <v>59</v>
      </c>
      <c r="X17" s="202">
        <v>341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856</v>
      </c>
      <c r="AZ17" s="137">
        <f t="shared" si="10"/>
        <v>711</v>
      </c>
      <c r="BA17" s="137">
        <f t="shared" si="10"/>
        <v>634</v>
      </c>
      <c r="BB17" s="137">
        <f t="shared" si="10"/>
        <v>958</v>
      </c>
      <c r="BC17" s="135">
        <f>IF(ISNUMBER(W17),W17," - ")</f>
        <v>59</v>
      </c>
      <c r="BD17" s="136">
        <f t="shared" ref="BD17:BD22" si="12">IF(ISNUMBER(BA17/AZ17),BA17/AZ17," - ")</f>
        <v>0.89170182841068912</v>
      </c>
      <c r="BE17" s="137">
        <f t="shared" ref="BE17:BE22" si="13">IF(ISNUMBER(BB17/BA17),BB17/BA17, " - ")</f>
        <v>1.5110410094637223</v>
      </c>
      <c r="BF17" s="137">
        <f t="shared" ref="BF17:BF22" si="14">IF(ISNUMBER(BC17/BA17),BC17/BA17, " - ")</f>
        <v>9.3059936908517354E-2</v>
      </c>
      <c r="BG17" s="209">
        <f t="shared" si="11"/>
        <v>2.4716088328075712</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123</v>
      </c>
      <c r="J18" s="196">
        <v>76</v>
      </c>
      <c r="K18" s="196">
        <v>124</v>
      </c>
      <c r="L18" s="196">
        <v>75</v>
      </c>
      <c r="M18" s="196">
        <v>6</v>
      </c>
      <c r="N18" s="196">
        <v>85</v>
      </c>
      <c r="O18" s="196">
        <v>0</v>
      </c>
      <c r="P18" s="196">
        <v>0</v>
      </c>
      <c r="Q18" s="196">
        <v>0</v>
      </c>
      <c r="R18" s="196">
        <v>0</v>
      </c>
      <c r="S18" s="196">
        <v>121</v>
      </c>
      <c r="T18" s="196">
        <v>76</v>
      </c>
      <c r="U18" s="196">
        <v>59</v>
      </c>
      <c r="V18" s="196">
        <v>138</v>
      </c>
      <c r="W18" s="196">
        <v>9</v>
      </c>
      <c r="X18" s="202">
        <v>59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121</v>
      </c>
      <c r="AZ18" s="139">
        <f t="shared" si="15"/>
        <v>76</v>
      </c>
      <c r="BA18" s="139">
        <f t="shared" si="15"/>
        <v>59</v>
      </c>
      <c r="BB18" s="139">
        <f t="shared" si="15"/>
        <v>138</v>
      </c>
      <c r="BC18" s="135">
        <f>IF(ISNUMBER(W18),W18," - ")</f>
        <v>9</v>
      </c>
      <c r="BD18" s="136">
        <f>IF(ISNUMBER(BA18/AZ18),BA18/AZ18," - ")</f>
        <v>0.77631578947368418</v>
      </c>
      <c r="BE18" s="137">
        <f>IF(ISNUMBER(BB18/BA18),BB18/BA18, " - ")</f>
        <v>2.3389830508474576</v>
      </c>
      <c r="BF18" s="137">
        <f>IF(ISNUMBER(BC18/BA18),BC18/BA18, " - ")</f>
        <v>0.15254237288135594</v>
      </c>
      <c r="BG18" s="209">
        <f>IF(ISNUMBER((AY18+AZ18)/BA18),(AY18+AZ18)/BA18," - ")</f>
        <v>3.3389830508474576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762</v>
      </c>
      <c r="J23" s="197">
        <f t="shared" si="21"/>
        <v>834</v>
      </c>
      <c r="K23" s="197">
        <f t="shared" si="21"/>
        <v>877</v>
      </c>
      <c r="L23" s="197">
        <f t="shared" si="21"/>
        <v>781</v>
      </c>
      <c r="M23" s="197">
        <f t="shared" si="21"/>
        <v>78</v>
      </c>
      <c r="N23" s="197">
        <f t="shared" si="21"/>
        <v>505</v>
      </c>
      <c r="O23" s="197">
        <f t="shared" si="21"/>
        <v>16</v>
      </c>
      <c r="P23" s="197">
        <f t="shared" si="21"/>
        <v>17</v>
      </c>
      <c r="Q23" s="197">
        <f t="shared" si="21"/>
        <v>28</v>
      </c>
      <c r="R23" s="197">
        <f t="shared" si="21"/>
        <v>190</v>
      </c>
      <c r="S23" s="197">
        <f t="shared" si="21"/>
        <v>977</v>
      </c>
      <c r="T23" s="197">
        <f t="shared" si="21"/>
        <v>787</v>
      </c>
      <c r="U23" s="197">
        <f t="shared" si="21"/>
        <v>693</v>
      </c>
      <c r="V23" s="197">
        <f t="shared" si="21"/>
        <v>1096</v>
      </c>
      <c r="W23" s="197">
        <f t="shared" si="21"/>
        <v>68</v>
      </c>
      <c r="X23" s="197">
        <f t="shared" si="21"/>
        <v>400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977</v>
      </c>
      <c r="AZ23" s="197">
        <f>SUBTOTAL(9,AZ15:AZ22)</f>
        <v>787</v>
      </c>
      <c r="BA23" s="197">
        <f>SUBTOTAL(9,BA15:BA22)</f>
        <v>693</v>
      </c>
      <c r="BB23" s="197">
        <f>SUBTOTAL(9,BB15:BB22)</f>
        <v>1096</v>
      </c>
      <c r="BC23" s="197">
        <f>SUBTOTAL(9,BC15:BC22)</f>
        <v>68</v>
      </c>
      <c r="BD23" s="219">
        <f>IF(ISNUMBER(BA23/AZ23),BA23/AZ23," - ")</f>
        <v>0.88055908513341807</v>
      </c>
      <c r="BE23" s="220">
        <f>IF(ISNUMBER(BB23/BA23),BB23/BA23, " - ")</f>
        <v>1.5815295815295816</v>
      </c>
      <c r="BF23" s="220">
        <f>IF(ISNUMBER(BC23/BA23),BC23/BA23, " - ")</f>
        <v>9.8124098124098127E-2</v>
      </c>
      <c r="BG23" s="221">
        <f>IF(ISNUMBER((AY23+AZ23)/BA23),(AY23+AZ23)/BA23," - ")</f>
        <v>2.5454545454545454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3157</v>
      </c>
      <c r="J31" s="144">
        <f t="shared" si="36"/>
        <v>1772</v>
      </c>
      <c r="K31" s="144">
        <f t="shared" si="36"/>
        <v>1724</v>
      </c>
      <c r="L31" s="144">
        <f t="shared" si="36"/>
        <v>3267</v>
      </c>
      <c r="M31" s="144">
        <f t="shared" si="36"/>
        <v>288</v>
      </c>
      <c r="N31" s="144">
        <f t="shared" si="36"/>
        <v>960</v>
      </c>
      <c r="O31" s="144">
        <f t="shared" si="36"/>
        <v>448</v>
      </c>
      <c r="P31" s="144">
        <f t="shared" si="36"/>
        <v>197</v>
      </c>
      <c r="Q31" s="144">
        <f t="shared" si="36"/>
        <v>270</v>
      </c>
      <c r="R31" s="144">
        <f t="shared" si="36"/>
        <v>6539</v>
      </c>
      <c r="S31" s="144">
        <f t="shared" si="36"/>
        <v>3695</v>
      </c>
      <c r="T31" s="144">
        <f t="shared" si="36"/>
        <v>1555</v>
      </c>
      <c r="U31" s="144">
        <f t="shared" si="36"/>
        <v>1537</v>
      </c>
      <c r="V31" s="144">
        <f t="shared" si="36"/>
        <v>3738</v>
      </c>
      <c r="W31" s="144">
        <f t="shared" si="36"/>
        <v>195</v>
      </c>
      <c r="X31" s="144">
        <f t="shared" si="36"/>
        <v>819</v>
      </c>
      <c r="Y31" s="144">
        <f t="shared" si="36"/>
        <v>49</v>
      </c>
      <c r="Z31" s="144">
        <f t="shared" si="36"/>
        <v>96</v>
      </c>
      <c r="AA31" s="144">
        <f t="shared" si="36"/>
        <v>111</v>
      </c>
      <c r="AB31" s="144">
        <f t="shared" si="36"/>
        <v>34</v>
      </c>
      <c r="AC31" s="144">
        <f t="shared" si="36"/>
        <v>0</v>
      </c>
      <c r="AD31" s="144">
        <f t="shared" si="36"/>
        <v>0</v>
      </c>
      <c r="AE31" s="144">
        <f t="shared" si="36"/>
        <v>0</v>
      </c>
      <c r="AF31" s="144">
        <f t="shared" si="36"/>
        <v>0</v>
      </c>
      <c r="AG31" s="144">
        <f t="shared" si="36"/>
        <v>80</v>
      </c>
      <c r="AH31" s="144">
        <f t="shared" si="36"/>
        <v>106</v>
      </c>
      <c r="AI31" s="144">
        <f t="shared" si="36"/>
        <v>108</v>
      </c>
      <c r="AJ31" s="144">
        <f t="shared" si="36"/>
        <v>78</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3775</v>
      </c>
      <c r="AZ31" s="144">
        <f>SUBTOTAL(9,AZ9:AZ30)</f>
        <v>1661</v>
      </c>
      <c r="BA31" s="144">
        <f>SUBTOTAL(9,BA9:BA30)</f>
        <v>1645</v>
      </c>
      <c r="BB31" s="144">
        <f>SUBTOTAL(9,BB9:BB30)</f>
        <v>3816</v>
      </c>
      <c r="BC31" s="145">
        <f>SUBTOTAL(9,BC9:BC30)</f>
        <v>491</v>
      </c>
      <c r="BD31" s="227">
        <f>IF(ISNUMBER(BA31/AZ31),BA31/AZ31," - ")</f>
        <v>0.99036724864539438</v>
      </c>
      <c r="BE31" s="224">
        <f>IF(ISNUMBER(BB31/BA31),BB31/BA31, " - ")</f>
        <v>2.319756838905775</v>
      </c>
      <c r="BF31" s="224">
        <f>IF(ISNUMBER(BC31/BA31),BC31/BA31, " - ")</f>
        <v>0.29848024316109423</v>
      </c>
      <c r="BG31" s="145">
        <f>IF(ISNUMBER((AY31+AZ31)/BA31),(AY31+AZ31)/BA31," - ")</f>
        <v>3.3045592705167173</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VOWOs/5misymiQuj4z90FHxNepBM7yd2Mq6SONxO1gjpWFmiK2llYNU4YTivhkQzx8TEZsc2ZjXFbbfrV87Fw==" saltValue="3mMcNuu1loKBjLnaYD281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vjpqTN0GSmlL3pY5ULkCzuBc/yuXbIgOh89qGybSx5wh+tCtpO3YINom5+deWn70wYyVHzW8RVKthlyEDwn7Q==" saltValue="AmTgmABK2LPfSL5LuwQS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ELDA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52</v>
      </c>
      <c r="G10" s="543">
        <f>IF(ISNUMBER(Datos!I10),Datos!I10," - ")</f>
        <v>52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1</v>
      </c>
      <c r="AD10" s="549"/>
      <c r="AE10" s="563"/>
      <c r="AF10" s="551">
        <f>IF(ISNUMBER(Datos!L10),Datos!L10,"-")</f>
        <v>39</v>
      </c>
      <c r="AG10" s="549"/>
      <c r="AH10" s="549"/>
      <c r="AI10" s="549"/>
      <c r="AJ10" s="549"/>
      <c r="AK10" s="549"/>
      <c r="AL10" s="550"/>
      <c r="AM10" s="766">
        <f>IF(ISNUMBER(Datos!R10),Datos!R10," - ")</f>
        <v>104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3</v>
      </c>
      <c r="BE10" s="693" t="str">
        <f>IF(ISNUMBER(Datos!BW10),Datos!BW10," - ")</f>
        <v xml:space="preserve"> - </v>
      </c>
      <c r="BF10" s="762" t="str">
        <f>IF(ISNUMBER(Datos!BX10),Datos!BX10," - ")</f>
        <v xml:space="preserve"> - </v>
      </c>
      <c r="BG10" s="763">
        <f>IF(ISNUMBER(Datos!K10/Datos!J10),Datos!K10/Datos!J10," - ")</f>
        <v>7.5</v>
      </c>
      <c r="BH10" s="764">
        <f>IF(ISNUMBER(((Datos!L10/Datos!K10)*11)/factor_trimestre),((Datos!L10/Datos!K10)*11)/factor_trimestre," - ")</f>
        <v>5.2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-9.5238095238095247E-3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96</v>
      </c>
      <c r="O12" s="549"/>
      <c r="P12" s="549"/>
      <c r="Q12" s="547">
        <f>IF(ISNUMBER(Datos!P12),Datos!P12,0)</f>
        <v>180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34</v>
      </c>
      <c r="AI12" s="549" t="str">
        <f>IF(ISNUMBER(Datos!CD12),Datos!CD12,"-")</f>
        <v>-</v>
      </c>
      <c r="AJ12" s="549" t="str">
        <f>IF(ISNUMBER(Datos!EN12),Datos!EN12," - ")</f>
        <v xml:space="preserve"> - </v>
      </c>
      <c r="AK12" s="549"/>
      <c r="AL12" s="550"/>
      <c r="AM12" s="766">
        <f>IF(ISNUMBER(Datos!R12),Datos!R12," - ")</f>
        <v>6245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197</v>
      </c>
      <c r="BD12" s="693">
        <f>IF(ISNUMBER(Datos!N12),Datos!N12," - ")</f>
        <v>452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0.91375968992248058</v>
      </c>
      <c r="BH12" s="764">
        <f>IF(ISNUMBER(((IF(J_V="SI",Datos!L12/Datos!K12,(Datos!L12+Datos!AB12)/(Datos!K12+Datos!AA12)))*11)/factor_trimestre),((IF(J_V="SI",Datos!L12/Datos!K12,(Datos!L12+Datos!AB12)/(Datos!K12+Datos!AA12)))*11)/factor_trimestre," - ")</f>
        <v>5.2619300106044538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-9.6733269901680945E-3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52</v>
      </c>
      <c r="G14" s="1197">
        <f t="shared" si="1"/>
        <v>52</v>
      </c>
      <c r="H14" s="1198">
        <f t="shared" si="1"/>
        <v>0</v>
      </c>
      <c r="I14" s="1197">
        <f t="shared" si="1"/>
        <v>0</v>
      </c>
      <c r="J14" s="1164">
        <f t="shared" si="1"/>
        <v>0</v>
      </c>
      <c r="K14" s="1164">
        <f t="shared" si="1"/>
        <v>0</v>
      </c>
      <c r="L14" s="1198">
        <f t="shared" si="1"/>
        <v>0</v>
      </c>
      <c r="M14" s="1198">
        <f t="shared" si="1"/>
        <v>0</v>
      </c>
      <c r="N14" s="1198">
        <f t="shared" si="1"/>
        <v>96</v>
      </c>
      <c r="O14" s="1199">
        <f t="shared" si="1"/>
        <v>0</v>
      </c>
      <c r="P14" s="1199">
        <f t="shared" si="1"/>
        <v>0</v>
      </c>
      <c r="Q14" s="1198">
        <f t="shared" si="1"/>
        <v>180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242</v>
      </c>
      <c r="AD14" s="1198">
        <f t="shared" si="2"/>
        <v>0</v>
      </c>
      <c r="AE14" s="1198">
        <f t="shared" si="2"/>
        <v>0</v>
      </c>
      <c r="AF14" s="1198">
        <f t="shared" si="2"/>
        <v>39</v>
      </c>
      <c r="AG14" s="1198">
        <f t="shared" si="2"/>
        <v>0</v>
      </c>
      <c r="AH14" s="1198">
        <f t="shared" si="2"/>
        <v>34</v>
      </c>
      <c r="AI14" s="1198">
        <f t="shared" si="2"/>
        <v>0</v>
      </c>
      <c r="AJ14" s="1198">
        <f t="shared" si="2"/>
        <v>0</v>
      </c>
      <c r="AK14" s="1198">
        <f t="shared" si="2"/>
        <v>0</v>
      </c>
      <c r="AL14" s="1198">
        <f t="shared" si="2"/>
        <v>0</v>
      </c>
      <c r="AM14" s="1198">
        <f t="shared" si="2"/>
        <v>6349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210</v>
      </c>
      <c r="BD14" s="1198">
        <f t="shared" si="2"/>
        <v>455</v>
      </c>
      <c r="BE14" s="1198">
        <f t="shared" si="2"/>
        <v>0</v>
      </c>
      <c r="BF14" s="1198">
        <f t="shared" si="2"/>
        <v>0</v>
      </c>
      <c r="BG14" s="1198">
        <f>IF(ISNUMBER(Datos!K14/Datos!J14),Datos!K14/Datos!J14," - ")</f>
        <v>0.90298507462686572</v>
      </c>
      <c r="BH14" s="1202">
        <f>IF(ISNUMBER(((Datos!L14/Datos!K14)*11)/factor_trimestre),((Datos!L14/Datos!K14)*11)/factor_trimestre," - ")</f>
        <v>5.8701298701298699</v>
      </c>
      <c r="BI14" s="1198">
        <f>IF(ISNUMBER('Resol  Asuntos'!D14/NºAsuntos!G14),'Resol  Asuntos'!D14/NºAsuntos!G14," - ")</f>
        <v>0.21920668058455114</v>
      </c>
      <c r="BJ14" s="1198" t="str">
        <f>IF(ISNUMBER(Datos!CI14/Datos!CJ14),Datos!CI14/Datos!CJ14," - ")</f>
        <v xml:space="preserve"> - </v>
      </c>
      <c r="BK14" s="1198">
        <f>SUBTOTAL(9,BK8:BK13)</f>
        <v>0</v>
      </c>
      <c r="BL14" s="1198">
        <f>IF(ISNUMBER((I14-AB14+L14)/(F14)),(I14-AB14+L14)/(F14)," - ")</f>
        <v>-0.28846153846153844</v>
      </c>
      <c r="BM14" s="1203">
        <f>SUBTOTAL(9,BM9:BM13)</f>
        <v>-1.9197136513977621E-2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701</v>
      </c>
      <c r="G17" s="743">
        <f>IF(ISNUMBER(IF(D_I="SI",Datos!I17,Datos!I17+Datos!AC17)),IF(D_I="SI",Datos!I17,Datos!I17+Datos!AC17)," - ")</f>
        <v>639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753</v>
      </c>
      <c r="AC17" s="240">
        <f>IF(ISNUMBER(Datos!Q17),Datos!Q17," - ")</f>
        <v>28</v>
      </c>
      <c r="AD17" s="374"/>
      <c r="AE17" s="562"/>
      <c r="AF17" s="741">
        <f>IF(ISNUMBER(IF(D_I="SI",Datos!L17,Datos!L17+Datos!AF17)),IF(D_I="SI",Datos!L17,Datos!L17+Datos!AF17)," - ")</f>
        <v>706</v>
      </c>
      <c r="AG17" s="374"/>
      <c r="AH17" s="374"/>
      <c r="AI17" s="374"/>
      <c r="AJ17" s="549"/>
      <c r="AK17" s="374"/>
      <c r="AL17" s="545"/>
      <c r="AM17" s="375">
        <f>IF(ISNUMBER(Datos!R17),Datos!R17," - ")</f>
        <v>190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72</v>
      </c>
      <c r="BD17" s="243">
        <f>IF(ISNUMBER(Datos!N17),Datos!N17," - ")</f>
        <v>420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0.99340369393139838</v>
      </c>
      <c r="BH17" s="764">
        <f>IF(ISNUMBER(((IF(D_I="SI",Datos!L17/Datos!K17,(Datos!L17+Datos!AF17)/(Datos!K17+Datos!AE17)))*11)/factor_trimestre),((IF(D_I="SI",Datos!L17/Datos!K17,(Datos!L17+Datos!AF17)/(Datos!K17+Datos!AE17)))*11)/factor_trimestre," - ")</f>
        <v>1.8751660026560424</v>
      </c>
      <c r="BI17" s="266">
        <f>IF(ISNUMBER('Resol  Asuntos'!D17/NºAsuntos!G17),'Resol  Asuntos'!D17/NºAsuntos!G17," - ")</f>
        <v>9.5617529880478086E-2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124</v>
      </c>
      <c r="AC18" s="547">
        <f>IF(ISNUMBER(Datos!Q18),Datos!Q18," - ")</f>
        <v>0</v>
      </c>
      <c r="AD18" s="549"/>
      <c r="AE18" s="562"/>
      <c r="AF18" s="551">
        <f>IF(ISNUMBER(Datos!L18),Datos!L18,"-")</f>
        <v>75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85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1.631578947368421</v>
      </c>
      <c r="BH18" s="764">
        <f>IF(ISNUMBER(((IF(D_I="SI",Datos!L18/Datos!K18,(Datos!L18+Datos!AF18)/(Datos!K18+Datos!AE18)))*11)/factor_trimestre),((IF(D_I="SI",Datos!L18/Datos!K18,(Datos!L18+Datos!AF18)/(Datos!K18+Datos!AE18)))*11)/factor_trimestre," - ")</f>
        <v>1.2096774193548387</v>
      </c>
      <c r="BI18" s="763">
        <f>IF(ISNUMBER('Resol  Asuntos'!D18/NºAsuntos!G18),'Resol  Asuntos'!D18/NºAsuntos!G18," - ")</f>
        <v>4.8387096774193547E-2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701</v>
      </c>
      <c r="G23" s="1197">
        <f>SUBTOTAL(9,G16:G22)</f>
        <v>762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877</v>
      </c>
      <c r="AC23" s="1198">
        <f t="shared" si="5"/>
        <v>28</v>
      </c>
      <c r="AD23" s="1198">
        <f t="shared" si="5"/>
        <v>0</v>
      </c>
      <c r="AE23" s="1198">
        <f t="shared" si="5"/>
        <v>0</v>
      </c>
      <c r="AF23" s="1198">
        <f t="shared" si="5"/>
        <v>781</v>
      </c>
      <c r="AG23" s="1198">
        <f t="shared" si="5"/>
        <v>0</v>
      </c>
      <c r="AH23" s="1198">
        <f t="shared" si="5"/>
        <v>0</v>
      </c>
      <c r="AI23" s="1198">
        <f t="shared" si="5"/>
        <v>0</v>
      </c>
      <c r="AJ23" s="1198">
        <f t="shared" si="5"/>
        <v>0</v>
      </c>
      <c r="AK23" s="1198">
        <f t="shared" si="5"/>
        <v>0</v>
      </c>
      <c r="AL23" s="1198">
        <f t="shared" si="5"/>
        <v>0</v>
      </c>
      <c r="AM23" s="1198">
        <f t="shared" si="5"/>
        <v>190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78</v>
      </c>
      <c r="BD23" s="1198">
        <f t="shared" si="5"/>
        <v>505</v>
      </c>
      <c r="BE23" s="1198">
        <f t="shared" si="5"/>
        <v>0</v>
      </c>
      <c r="BF23" s="1198">
        <f t="shared" si="5"/>
        <v>0</v>
      </c>
      <c r="BG23" s="1198">
        <f>IF(ISNUMBER(Datos!K23/Datos!J23),Datos!K23/Datos!J23," - ")</f>
        <v>1.0515587529976018</v>
      </c>
      <c r="BH23" s="1202">
        <f>IF(ISNUMBER(((Datos!L23/Datos!K23)*11)/factor_trimestre),((Datos!L23/Datos!K23)*11)/factor_trimestre," - ")</f>
        <v>1.7810718358038768</v>
      </c>
      <c r="BI23" s="1198">
        <f>SUBTOTAL(9,BI16:BI22)</f>
        <v>0.14400462665467162</v>
      </c>
      <c r="BJ23" s="1198">
        <f>SUBTOTAL(9,BJ16:BJ22)</f>
        <v>0</v>
      </c>
      <c r="BK23" s="1198">
        <f>SUBTOTAL(9,BK16:BK22)</f>
        <v>0</v>
      </c>
      <c r="BL23" s="1198">
        <f>IF(ISNUMBER((I23-AB23+L23)/(F23)),(I23-AB23+L23)/(F23)," - ")</f>
        <v>-1.2510699001426533</v>
      </c>
      <c r="BM23" s="1205">
        <f>IF(ISNUMBER((Datos!P23-Datos!Q23)/(Datos!R23-Datos!P23+Datos!Q23)),(Datos!P23-Datos!Q23)/(Datos!R23-Datos!P23+Datos!Q23)," - ")</f>
        <v>-5.4726368159203981E-2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753</v>
      </c>
      <c r="G31" s="1117">
        <f t="shared" si="18"/>
        <v>814</v>
      </c>
      <c r="H31" s="1119">
        <f t="shared" si="18"/>
        <v>0</v>
      </c>
      <c r="I31" s="1117">
        <f t="shared" si="18"/>
        <v>0</v>
      </c>
      <c r="J31" s="1119">
        <f t="shared" si="18"/>
        <v>0</v>
      </c>
      <c r="K31" s="1119">
        <f t="shared" si="18"/>
        <v>0</v>
      </c>
      <c r="L31" s="1180">
        <f t="shared" si="18"/>
        <v>0</v>
      </c>
      <c r="M31" s="1180">
        <f t="shared" si="18"/>
        <v>0</v>
      </c>
      <c r="N31" s="1180">
        <f t="shared" si="18"/>
        <v>96</v>
      </c>
      <c r="O31" s="1180">
        <f t="shared" si="18"/>
        <v>0</v>
      </c>
      <c r="P31" s="1180">
        <f t="shared" si="18"/>
        <v>0</v>
      </c>
      <c r="Q31" s="1119">
        <f t="shared" si="18"/>
        <v>197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892</v>
      </c>
      <c r="AC31" s="1118">
        <f t="shared" si="19"/>
        <v>270</v>
      </c>
      <c r="AD31" s="1118">
        <f t="shared" si="19"/>
        <v>0</v>
      </c>
      <c r="AE31" s="1118">
        <f t="shared" si="19"/>
        <v>0</v>
      </c>
      <c r="AF31" s="1125">
        <f t="shared" si="19"/>
        <v>820</v>
      </c>
      <c r="AG31" s="1125">
        <f t="shared" si="19"/>
        <v>0</v>
      </c>
      <c r="AH31" s="1125">
        <f t="shared" si="19"/>
        <v>34</v>
      </c>
      <c r="AI31" s="1125">
        <f t="shared" si="19"/>
        <v>0</v>
      </c>
      <c r="AJ31" s="1118">
        <f t="shared" si="19"/>
        <v>0</v>
      </c>
      <c r="AK31" s="1125">
        <f t="shared" si="19"/>
        <v>0</v>
      </c>
      <c r="AL31" s="1125">
        <f t="shared" si="19"/>
        <v>0</v>
      </c>
      <c r="AM31" s="1125">
        <f t="shared" si="19"/>
        <v>6539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288</v>
      </c>
      <c r="BD31" s="1117">
        <f t="shared" si="19"/>
        <v>960</v>
      </c>
      <c r="BE31" s="1117">
        <f t="shared" si="19"/>
        <v>0</v>
      </c>
      <c r="BF31" s="1127">
        <f t="shared" si="19"/>
        <v>0</v>
      </c>
      <c r="BG31" s="1223">
        <f>IF(ISNUMBER(Datos!K31/Datos!J31),Datos!K31/Datos!J31," - ")</f>
        <v>0.97291196388261847</v>
      </c>
      <c r="BH31" s="1223">
        <f>IF(ISNUMBER(((Datos!L31/Datos!K31)*11)/factor_trimestre),((Datos!L31/Datos!K31)*11)/factor_trimestre," - ")</f>
        <v>3.7900232018561484</v>
      </c>
      <c r="BI31" s="1103">
        <f>IF(ISNUMBER(Datos!J31/Datos!I31),Datos!J31/Datos!I31," - ")</f>
        <v>0.561292366170415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-1.1845949535192564</v>
      </c>
      <c r="BM31" s="1188">
        <f>IF(ISNUMBER((Datos!P31-Datos!Q31+R31)/(Datos!R31-Datos!P31+Datos!Q31-R31)),(Datos!P31-Datos!Q31+R31)/(Datos!R31-Datos!P31+Datos!Q31-R31)," - ")</f>
        <v>-1.1040532365396248E-2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232.57142857142858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349.34338407933245</v>
      </c>
      <c r="G33" s="674">
        <f>IF(ISNUMBER(STDEV(G8:G30)),STDEV(G8:G30),"-")</f>
        <v>324.26216612634965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386.71670447991966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86.9400450228284</v>
      </c>
      <c r="BD33" s="673"/>
      <c r="BE33" s="673">
        <f>IF(ISNUMBER(STDEV(BE8:BE30)),STDEV(BE8:BE30),"-")</f>
        <v>0</v>
      </c>
      <c r="BF33" s="678">
        <f>IF(ISNUMBER(STDEV(BF8:BF30)),STDEV(BF8:BF30),"-")</f>
        <v>0</v>
      </c>
      <c r="BG33" s="1052">
        <f>IF(ISNUMBER(STDEV(BG8:BG30)),STDEV(BG8:BG30),"-")</f>
        <v>2.6274487443119119</v>
      </c>
      <c r="BH33" s="1058">
        <f>IF(ISNUMBER(STDEV(BH8:BH30)),STDEV(BH8:BH30),"-")</f>
        <v>2.1187617931380434</v>
      </c>
      <c r="BI33" s="273">
        <f>IF(ISNUMBER(STDEV(BI8:BI30)),STDEV(BI8:BI30),"-")</f>
        <v>7.2929014725654565E-2</v>
      </c>
      <c r="BJ33" s="244" t="str">
        <f>IF(ISNUMBER(BL33/BM33),BL33/BM33," - ")</f>
        <v xml:space="preserve"> - </v>
      </c>
      <c r="BK33" s="709"/>
      <c r="BL33" s="681">
        <f>IF(ISNUMBER(STDEV(BL8:BL30)),STDEV(BL8:BL30),"-")</f>
        <v>0.68066690017158893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qaa0VWTcl/Z6wzAvJDUN5ExTo8u0eh3ktgeSagoFvJllEkThrb6H5oFl039gbv9DWwh/clfH8RjUX5MXEFWbMA==" saltValue="XNJj4vJxdfsMi/lG85Zwt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ELDA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52</v>
      </c>
      <c r="G10" s="552">
        <f>IF(ISNUMBER(Datos!I10),Datos!I10," - ")</f>
        <v>52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1</v>
      </c>
      <c r="AA10" s="551">
        <f>IF(ISNUMBER(Datos!L10),Datos!L10,"-")</f>
        <v>39</v>
      </c>
      <c r="AB10" s="549"/>
      <c r="AC10" s="549"/>
      <c r="AD10" s="563"/>
      <c r="AE10" s="563">
        <f>IF(ISNUMBER(Datos!R10),Datos!R10," - ")</f>
        <v>104</v>
      </c>
      <c r="AF10" s="693" t="str">
        <f>IF(ISNUMBER(Datos!BV10),Datos!BV10," - ")</f>
        <v xml:space="preserve"> - </v>
      </c>
      <c r="AG10" s="552" t="str">
        <f>IF(ISNUMBER(Datos!DV10),Datos!DV10," - ")</f>
        <v xml:space="preserve"> - </v>
      </c>
      <c r="AH10" s="553"/>
      <c r="AI10" s="554"/>
      <c r="AJ10" s="552">
        <f>IF(ISNUMBER(Datos!M10),Datos!M10," - ")</f>
        <v>13</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-9.5238095238095247E-3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241</v>
      </c>
      <c r="AA12" s="551" t="str">
        <f>IF(ISNUMBER(IF(J_V="SI",Datos!L12,Datos!L12+Datos!AB12)-IF(Monitorios="SI",Datos!CD12,0)),
                          IF(J_V="SI",Datos!L12,Datos!L12+Datos!AB12)-IF(Monitorios="SI",Datos!CD12,0),
                          " - ")</f>
        <v xml:space="preserve"> - </v>
      </c>
      <c r="AB12" s="549"/>
      <c r="AC12" s="549"/>
      <c r="AD12" s="563"/>
      <c r="AE12" s="563">
        <f>IF(ISNUMBER(Datos!R12),Datos!R12," - ")</f>
        <v>6245</v>
      </c>
      <c r="AF12" s="693" t="str">
        <f>IF(ISNUMBER(Datos!BV12),Datos!BV12," - ")</f>
        <v xml:space="preserve"> - </v>
      </c>
      <c r="AG12" s="552" t="str">
        <f>IF(ISNUMBER(Datos!DV12),Datos!DV12," - ")</f>
        <v xml:space="preserve"> - </v>
      </c>
      <c r="AH12" s="553"/>
      <c r="AI12" s="554"/>
      <c r="AJ12" s="552">
        <f>IF(ISNUMBER(Datos!M12),Datos!M12," - ")</f>
        <v>197</v>
      </c>
      <c r="AK12" s="693">
        <f>IF(ISNUMBER(Datos!N12),Datos!N12," - ")</f>
        <v>452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5.2619300106044538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-9.6733269901680945E-3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52</v>
      </c>
      <c r="G14" s="1197">
        <f>SUBTOTAL(9,G8:G13)</f>
        <v>52</v>
      </c>
      <c r="H14" s="1211"/>
      <c r="I14" s="1197">
        <f t="shared" ref="I14:N14" si="1">SUBTOTAL(9,I8:I13)</f>
        <v>0</v>
      </c>
      <c r="J14" s="1164">
        <f t="shared" si="1"/>
        <v>0</v>
      </c>
      <c r="K14" s="1211">
        <f t="shared" si="1"/>
        <v>0</v>
      </c>
      <c r="L14" s="1211">
        <f t="shared" si="1"/>
        <v>0</v>
      </c>
      <c r="M14" s="1211">
        <f t="shared" si="1"/>
        <v>0</v>
      </c>
      <c r="N14" s="1211">
        <f t="shared" si="1"/>
        <v>180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242</v>
      </c>
      <c r="AA14" s="1199">
        <f t="shared" si="3"/>
        <v>39</v>
      </c>
      <c r="AB14" s="1199">
        <f t="shared" si="3"/>
        <v>0</v>
      </c>
      <c r="AC14" s="1199">
        <f t="shared" si="3"/>
        <v>0</v>
      </c>
      <c r="AD14" s="1199">
        <f t="shared" si="3"/>
        <v>0</v>
      </c>
      <c r="AE14" s="1199">
        <f t="shared" si="3"/>
        <v>6349</v>
      </c>
      <c r="AF14" s="1211">
        <f t="shared" si="3"/>
        <v>0</v>
      </c>
      <c r="AG14" s="1211">
        <f t="shared" si="3"/>
        <v>0</v>
      </c>
      <c r="AH14" s="1211">
        <f t="shared" si="3"/>
        <v>0</v>
      </c>
      <c r="AI14" s="1211">
        <f t="shared" si="3"/>
        <v>0</v>
      </c>
      <c r="AJ14" s="1211">
        <f t="shared" si="3"/>
        <v>210</v>
      </c>
      <c r="AK14" s="1211">
        <f t="shared" si="3"/>
        <v>455</v>
      </c>
      <c r="AL14" s="1211">
        <f t="shared" si="3"/>
        <v>0</v>
      </c>
      <c r="AM14" s="1211">
        <f t="shared" si="3"/>
        <v>0</v>
      </c>
      <c r="AN14" s="1211">
        <f t="shared" si="3"/>
        <v>0</v>
      </c>
      <c r="AO14" s="1203">
        <f>IF(ISNUMBER(((NºAsuntos!I14/NºAsuntos!G14)*11)/factor_trimestre),((NºAsuntos!I14/NºAsuntos!G14)*11)/factor_trimestre," - ")</f>
        <v>5.2609603340292272</v>
      </c>
      <c r="AP14" s="1213" t="str">
        <f>IF(ISNUMBER(Datos!CI14/Datos!CJ14),Datos!CI14/Datos!CJ14," - ")</f>
        <v xml:space="preserve"> - </v>
      </c>
      <c r="AQ14" s="1236">
        <f t="shared" ref="AQ14:AV14" si="4">SUBTOTAL(9,AQ9:AQ13)</f>
        <v>0</v>
      </c>
      <c r="AR14" s="1236">
        <f t="shared" si="4"/>
        <v>-1.9197136513977621E-2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701</v>
      </c>
      <c r="G17" s="552">
        <f>IF(ISNUMBER(IF(D_I="SI",Datos!I17,Datos!I17+Datos!AC17)),IF(D_I="SI",Datos!I17,Datos!I17+Datos!AC17)," - ")</f>
        <v>639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753</v>
      </c>
      <c r="Z17" s="805">
        <f>IF(ISNUMBER(Datos!Q17),Datos!Q17," - ")</f>
        <v>28</v>
      </c>
      <c r="AA17" s="551">
        <f>IF(ISNUMBER(IF(D_I="SI",Datos!L17,Datos!L17+Datos!AF17)),IF(D_I="SI",Datos!L17,Datos!L17+Datos!AF17)," - ")</f>
        <v>706</v>
      </c>
      <c r="AB17" s="549"/>
      <c r="AC17" s="549"/>
      <c r="AD17" s="563"/>
      <c r="AE17" s="563">
        <f>IF(ISNUMBER(Datos!R17),Datos!R17," - ")</f>
        <v>190</v>
      </c>
      <c r="AF17" s="693" t="str">
        <f>IF(ISNUMBER(Datos!BV17),Datos!BV17," - ")</f>
        <v xml:space="preserve"> - </v>
      </c>
      <c r="AG17" s="552"/>
      <c r="AH17" s="553"/>
      <c r="AI17" s="554"/>
      <c r="AJ17" s="552">
        <f>IF(ISNUMBER(Datos!M17),Datos!M17," - ")</f>
        <v>72</v>
      </c>
      <c r="AK17" s="693">
        <f>IF(ISNUMBER(Datos!N17),Datos!N17," - ")</f>
        <v>420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1.8751660026560424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124</v>
      </c>
      <c r="Z18" s="805">
        <f>IF(ISNUMBER(Datos!Q18),Datos!Q18," - ")</f>
        <v>0</v>
      </c>
      <c r="AA18" s="551">
        <f>IF(ISNUMBER(Datos!L18),Datos!L18,"-")</f>
        <v>75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85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1.2096774193548387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701</v>
      </c>
      <c r="G23" s="1197">
        <f>SUBTOTAL(9,G16:G22)</f>
        <v>762</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877</v>
      </c>
      <c r="Z23" s="1240">
        <f t="shared" si="6"/>
        <v>28</v>
      </c>
      <c r="AA23" s="1240">
        <f t="shared" si="6"/>
        <v>781</v>
      </c>
      <c r="AB23" s="1240">
        <f t="shared" si="6"/>
        <v>0</v>
      </c>
      <c r="AC23" s="1240">
        <f t="shared" si="6"/>
        <v>0</v>
      </c>
      <c r="AD23" s="1240">
        <f t="shared" si="6"/>
        <v>0</v>
      </c>
      <c r="AE23" s="1240">
        <f t="shared" si="6"/>
        <v>190</v>
      </c>
      <c r="AF23" s="1240">
        <f t="shared" si="6"/>
        <v>0</v>
      </c>
      <c r="AG23" s="1240">
        <f t="shared" si="6"/>
        <v>0</v>
      </c>
      <c r="AH23" s="1240">
        <f t="shared" si="6"/>
        <v>0</v>
      </c>
      <c r="AI23" s="1240">
        <f t="shared" si="6"/>
        <v>0</v>
      </c>
      <c r="AJ23" s="1240">
        <f t="shared" si="6"/>
        <v>78</v>
      </c>
      <c r="AK23" s="1240">
        <f t="shared" si="6"/>
        <v>505</v>
      </c>
      <c r="AL23" s="1240">
        <f t="shared" si="6"/>
        <v>0</v>
      </c>
      <c r="AM23" s="1240">
        <f t="shared" si="6"/>
        <v>0</v>
      </c>
      <c r="AN23" s="1240">
        <f t="shared" si="6"/>
        <v>0</v>
      </c>
      <c r="AO23" s="1242">
        <f>IF(ISNUMBER(((NºAsuntos!I23/NºAsuntos!G23)*11)/factor_trimestre),((NºAsuntos!I23/NºAsuntos!G23)*11)/factor_trimestre," - ")</f>
        <v>1.7810718358038768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753</v>
      </c>
      <c r="G31" s="1117">
        <f t="shared" si="12"/>
        <v>814</v>
      </c>
      <c r="H31" s="1118">
        <f t="shared" si="12"/>
        <v>0</v>
      </c>
      <c r="I31" s="1117">
        <f t="shared" si="12"/>
        <v>0</v>
      </c>
      <c r="J31" s="1119">
        <f t="shared" si="12"/>
        <v>0</v>
      </c>
      <c r="K31" s="1117">
        <f t="shared" si="12"/>
        <v>0</v>
      </c>
      <c r="L31" s="1120">
        <f t="shared" si="12"/>
        <v>0</v>
      </c>
      <c r="M31" s="1117">
        <f t="shared" si="12"/>
        <v>0</v>
      </c>
      <c r="N31" s="1118">
        <f t="shared" si="12"/>
        <v>197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892</v>
      </c>
      <c r="Z31" s="1124">
        <f t="shared" si="13"/>
        <v>270</v>
      </c>
      <c r="AA31" s="1125">
        <f t="shared" si="13"/>
        <v>820</v>
      </c>
      <c r="AB31" s="1125">
        <f t="shared" si="13"/>
        <v>0</v>
      </c>
      <c r="AC31" s="1125">
        <f t="shared" si="13"/>
        <v>0</v>
      </c>
      <c r="AD31" s="1126">
        <f t="shared" si="13"/>
        <v>0</v>
      </c>
      <c r="AE31" s="1126">
        <f t="shared" si="13"/>
        <v>6539</v>
      </c>
      <c r="AF31" s="1127">
        <f t="shared" si="13"/>
        <v>0</v>
      </c>
      <c r="AG31" s="1128">
        <f t="shared" si="13"/>
        <v>0</v>
      </c>
      <c r="AH31" s="1129">
        <f t="shared" si="13"/>
        <v>0</v>
      </c>
      <c r="AI31" s="1127">
        <f t="shared" si="13"/>
        <v>0</v>
      </c>
      <c r="AJ31" s="1117">
        <f t="shared" si="13"/>
        <v>288</v>
      </c>
      <c r="AK31" s="1117">
        <f t="shared" si="13"/>
        <v>960</v>
      </c>
      <c r="AL31" s="1117">
        <f t="shared" si="13"/>
        <v>0</v>
      </c>
      <c r="AM31" s="1130">
        <f t="shared" si="13"/>
        <v>0</v>
      </c>
      <c r="AN31" s="1120">
        <f>IF(ISNUMBER(Datos!K31/Datos!J31),Datos!K31/Datos!J31," - ")</f>
        <v>0.97291196388261847</v>
      </c>
      <c r="AO31" s="1120">
        <f>IF(ISNUMBER(FIND("06",Criterios!A8,1)),(IF(ISNUMBER(((Datos!R31/Datos!Q31)*11)/factor_trimestre),((Datos!R31/Datos!Q31)*11)/factor_trimestre," - ")),(IF(ISNUMBER(((Datos!L31/Datos!K31)*11)/factor_trimestre),((Datos!L31/Datos!K31)*11)/factor_trimestre," - ")))</f>
        <v>3.7900232018561484</v>
      </c>
      <c r="AP31" s="1131" t="str">
        <f>IF(ISNUMBER(Datos!CI31/Datos!CJ31),Datos!CI31/Datos!CJ31," - ")</f>
        <v xml:space="preserve"> - </v>
      </c>
      <c r="AQ31" s="1131">
        <f>IF(OR(ISNUMBER(FIND("01",Criterios!A8,1)),ISNUMBER(FIND("02",Criterios!A8,1)),ISNUMBER(FIND("03",Criterios!A8,1)),ISNUMBER(FIND("04",Criterios!A8,1))),(J31-Y31+K31)/(F31-K31),(I31-Y31+K31)/(F31-K31))</f>
        <v>-1.1845949535192564</v>
      </c>
      <c r="AR31" s="1131">
        <f>IF(ISNUMBER((Datos!P31-Datos!Q31+O31)/(Datos!R31-Datos!P31+Datos!Q31-O31)),(Datos!P31-Datos!Q31+O31)/(Datos!R31-Datos!P31+Datos!Q31-O31)," - ")</f>
        <v>-1.1040532365396248E-2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232.57142857142858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349.34338407933245</v>
      </c>
      <c r="G33" s="674">
        <f>IF(ISNUMBER(STDEV(G8:G30)),STDEV(G8:G30),"-")</f>
        <v>324.26216612634965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86.9400450228284</v>
      </c>
      <c r="AK33" s="276"/>
      <c r="AL33" s="276">
        <f>IF(ISNUMBER(STDEV(AL8:AL30)),STDEV(AL8:AL30),"-")</f>
        <v>0</v>
      </c>
      <c r="AM33" s="278">
        <f>IF(ISNUMBER(STDEV(AM8:AM30)),STDEV(AM8:AM30),"-")</f>
        <v>0</v>
      </c>
      <c r="AN33" s="660">
        <f>IF(ISNUMBER(STDEV(AN8:AN30)),STDEV(AN8:AN30),"-")</f>
        <v>0</v>
      </c>
      <c r="AO33" s="661">
        <f>IF(ISNUMBER(STDEV(AO8:AO30)),STDEV(AO8:AO30),"-")</f>
        <v>1.9953734285859599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MpoyXQ3GVF4tVFp+CQUSLgVcbhXrPQqanFEi8tj+C9xZ6TMHlzeTmNYe4TJwJvfMH1Ss4gTh3mHnavlC/c+1UA==" saltValue="1gUFaHBUfOAM7pTWiJk22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51pqZ+L76Tf/BJ2MhoC+ra2X5r2kh80D7DSXZGtNqHNs42yKYLw5d8BaJLG6sAAho7vk7S1bPnm3OA0v72hQ6w==" saltValue="+3YOobHi6dB62VGyHRg/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nXr8ev5GeGFW6ANIrf0DXSEjwlMRH5gB+OMtDHDXEOVdFP2npPWyR7BE3Dj5h2Eh47HX44kLXz+CzWchpA5pg==" saltValue="0GG4f4N8Ub+AJ8sVfwoWG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ELDA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0.21920668058455114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0.15500253032272962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2uFWRCE7wnZGDhF/023lLnlsXxfXYHxd7a691ukKENVENcmtVU/Vnlls6uv70fPxtwEQr5tAmJwxpA5j4BaKjw==" saltValue="9Ddt5ZRsRSBV/iASBT3T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dZjKrfH1ngQCCCQkBze1LwFNzkBiRKkMISmRBKjiTBq022PKwevA1lAvd9ENNfCW8YjtBluzw3ykOakNPfwIw==" saltValue="XaNto3RX+dKcqlaF+af/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ELDA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52</v>
      </c>
      <c r="D10" s="452">
        <f>IF(ISNUMBER(C10/Datos!BH10),C10/Datos!BH10," - ")</f>
        <v>52</v>
      </c>
      <c r="E10" s="451">
        <f>IF(ISNUMBER(Datos!J10),Datos!J10," - ")</f>
        <v>2</v>
      </c>
      <c r="F10" s="452">
        <f>IF(ISNUMBER(E10/B10),E10/B10," - ")</f>
        <v>2</v>
      </c>
      <c r="G10" s="451">
        <f>IF(ISNUMBER(Datos!K10),Datos!K10," - ")</f>
        <v>15</v>
      </c>
      <c r="H10" s="452">
        <f>IF(ISNUMBER(G10/B10),G10/B10," - ")</f>
        <v>15</v>
      </c>
      <c r="I10" s="451">
        <f>IF(ISNUMBER(Datos!L10),Datos!L10," - ")</f>
        <v>39</v>
      </c>
      <c r="J10" s="452">
        <f>IF(ISNUMBER(I10/B10),I10/B10," - ")</f>
        <v>39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2392</v>
      </c>
      <c r="D12" s="452">
        <f>IF(ISNUMBER(C12/Datos!BH12),C12/Datos!BH12," - ")</f>
        <v>598</v>
      </c>
      <c r="E12" s="451">
        <f>IF(ISNUMBER(IF(J_V="SI",Datos!J12,Datos!J12+Datos!Z12)),IF(J_V="SI",Datos!J12,Datos!J12+Datos!Z12)," - ")</f>
        <v>1032</v>
      </c>
      <c r="F12" s="452">
        <f>IF(ISNUMBER(E12/B12),E12/B12," - ")</f>
        <v>258</v>
      </c>
      <c r="G12" s="451">
        <f>IF(ISNUMBER(IF(J_V="SI",Datos!K12,Datos!K12+Datos!AA12)),IF(J_V="SI",Datos!K12,Datos!K12+Datos!AA12)," - ")</f>
        <v>943</v>
      </c>
      <c r="H12" s="452">
        <f>IF(ISNUMBER(G12/B12),G12/B12," - ")</f>
        <v>235.75</v>
      </c>
      <c r="I12" s="451">
        <f>IF(ISNUMBER(IF(J_V="SI",Datos!L12,Datos!L12+Datos!AB12)),IF(J_V="SI",Datos!L12,Datos!L12+Datos!AB12)," - ")</f>
        <v>2481</v>
      </c>
      <c r="J12" s="452">
        <f>IF(ISNUMBER(I12/B12),I12/B12," - ")</f>
        <v>620.25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2444</v>
      </c>
      <c r="D14" s="1147" t="str">
        <f>IF(ISNUMBER(C14/Datos!BI14),C14/Datos!BI14," - ")</f>
        <v xml:space="preserve"> - </v>
      </c>
      <c r="E14" s="1146">
        <f>SUBTOTAL(9,E8:E13)</f>
        <v>1034</v>
      </c>
      <c r="F14" s="1147">
        <f>IF(ISNUMBER(E14/B14),E14/B14," - ")</f>
        <v>258.5</v>
      </c>
      <c r="G14" s="1146">
        <f>SUBTOTAL(9,G8:G13)</f>
        <v>958</v>
      </c>
      <c r="H14" s="1147">
        <f>IF(ISNUMBER(G14/B14),G14/B14," - ")</f>
        <v>239.5</v>
      </c>
      <c r="I14" s="1146">
        <f>SUBTOTAL(9,I8:I13)</f>
        <v>2520</v>
      </c>
      <c r="J14" s="1147">
        <f>IF(ISNUMBER(I14/B14),I14/B14," - ")</f>
        <v>630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639</v>
      </c>
      <c r="D17" s="452">
        <f>IF(ISNUMBER(C17/Datos!BH17),C17/Datos!BH17," - ")</f>
        <v>159.75</v>
      </c>
      <c r="E17" s="451">
        <f>IF(ISNUMBER(IF(D_I="SI",Datos!J17,Datos!J17+Datos!AD17)),IF(D_I="SI",Datos!J17,Datos!J17+Datos!AD17)," - ")</f>
        <v>758</v>
      </c>
      <c r="F17" s="452">
        <f>IF(ISNUMBER(E17/B17),E17/B17," - ")</f>
        <v>189.5</v>
      </c>
      <c r="G17" s="451">
        <f>IF(ISNUMBER(IF(D_I="SI",Datos!K17,Datos!K17+Datos!AE17)),IF(D_I="SI",Datos!K17,Datos!K17+Datos!AE17)," - ")</f>
        <v>753</v>
      </c>
      <c r="H17" s="452">
        <f>IF(ISNUMBER(G17/B17),G17/B17," - ")</f>
        <v>188.25</v>
      </c>
      <c r="I17" s="451">
        <f>IF(ISNUMBER(IF(D_I="SI",Datos!L17,Datos!L17+Datos!AF17)),IF(D_I="SI",Datos!L17,Datos!L17+Datos!AF17)," - ")</f>
        <v>706</v>
      </c>
      <c r="J17" s="452">
        <f>IF(ISNUMBER(I17/B17),I17/B17," - ")</f>
        <v>176.5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123</v>
      </c>
      <c r="D18" s="452">
        <f>IF(ISNUMBER(C18/Datos!BH18),C18/Datos!BH18," - ")</f>
        <v>123</v>
      </c>
      <c r="E18" s="451">
        <f>IF(ISNUMBER(IF(D_I="SI",Datos!J18,Datos!J18+Datos!AD18)),IF(D_I="SI",Datos!J18,Datos!J18+Datos!AD18)," - ")</f>
        <v>76</v>
      </c>
      <c r="F18" s="452">
        <f>IF(ISNUMBER(E18/B18),E18/B18," - ")</f>
        <v>76</v>
      </c>
      <c r="G18" s="451">
        <f>IF(ISNUMBER(IF(D_I="SI",Datos!K18,Datos!K18+Datos!AE18)),IF(D_I="SI",Datos!K18,Datos!K18+Datos!AE18)," - ")</f>
        <v>124</v>
      </c>
      <c r="H18" s="452">
        <f>IF(ISNUMBER(G18/B18),G18/B18," - ")</f>
        <v>124</v>
      </c>
      <c r="I18" s="451">
        <f>IF(ISNUMBER(IF(D_I="SI",Datos!L18,Datos!L18+Datos!AF18)),IF(D_I="SI",Datos!L18,Datos!L18+Datos!AF18)," - ")</f>
        <v>75</v>
      </c>
      <c r="J18" s="452">
        <f>IF(ISNUMBER(I18/B18),I18/B18," - ")</f>
        <v>75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762</v>
      </c>
      <c r="D23" s="1147" t="str">
        <f>IF(ISNUMBER(C23/Datos!BI23),C23/Datos!BI23," - ")</f>
        <v xml:space="preserve"> - </v>
      </c>
      <c r="E23" s="1146">
        <f>SUBTOTAL(9,E15:E22)</f>
        <v>834</v>
      </c>
      <c r="F23" s="1147">
        <f>IF(ISNUMBER(E23/B23),E23/B23," - ")</f>
        <v>208.5</v>
      </c>
      <c r="G23" s="1146">
        <f>SUBTOTAL(9,G15:G22)</f>
        <v>877</v>
      </c>
      <c r="H23" s="1147">
        <f>IF(ISNUMBER(G23/B23),G23/B23," - ")</f>
        <v>219.25</v>
      </c>
      <c r="I23" s="1146">
        <f>SUBTOTAL(9,I15:I22)</f>
        <v>781</v>
      </c>
      <c r="J23" s="1147">
        <f>IF(ISNUMBER(I23/B23),I23/B23," - ")</f>
        <v>195.25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3206</v>
      </c>
      <c r="D31" s="1085" t="str">
        <f>IF(ISNUMBER(C31/Datos!BI31),C31/Datos!BI31," - ")</f>
        <v xml:space="preserve"> - </v>
      </c>
      <c r="E31" s="1084">
        <f>SUBTOTAL(9,E9:E30)</f>
        <v>1868</v>
      </c>
      <c r="F31" s="1085">
        <f>IF(ISNUMBER(E31/B31),E31/B31," - ")</f>
        <v>467</v>
      </c>
      <c r="G31" s="1084">
        <f>SUBTOTAL(9,G9:G30)</f>
        <v>1835</v>
      </c>
      <c r="H31" s="1085">
        <f>IF(ISNUMBER(G31/B31),G31/B31," - ")</f>
        <v>458.75</v>
      </c>
      <c r="I31" s="1084">
        <f>SUBTOTAL(9,I9:I30)</f>
        <v>3301</v>
      </c>
      <c r="J31" s="1085">
        <f>IF(ISNUMBER(I31/B31),I31/B31," - ")</f>
        <v>825.25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y9nTiAT1KKg2MCdCuXvaSI2Wr2O3fDMrZBlh8K5ZYQDcMBFxOfzoFb2rDwnwwOZ5zfreqt8k7GfmQaWjf8UGMA==" saltValue="24bYhAW8jOOzF1/8n0bNx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ELDA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52</v>
      </c>
      <c r="G10" s="906">
        <f>IF(ISNUMBER(Datos!I10),Datos!I10," - ")</f>
        <v>52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39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5.2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6245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197</v>
      </c>
      <c r="AM12" s="914">
        <f>IF(ISNUMBER(Datos!N12+DatosP!N17),Datos!N12+DatosP!N17," - ")</f>
        <v>452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5.2619300106044538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-9.6733269901680945E-3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52</v>
      </c>
      <c r="G14" s="1256">
        <f t="shared" si="0"/>
        <v>52</v>
      </c>
      <c r="H14" s="1256">
        <f t="shared" si="0"/>
        <v>0</v>
      </c>
      <c r="I14" s="1258">
        <f t="shared" si="0"/>
        <v>0</v>
      </c>
      <c r="J14" s="1257">
        <f t="shared" si="0"/>
        <v>0</v>
      </c>
      <c r="K14" s="1257">
        <f t="shared" si="0"/>
        <v>0</v>
      </c>
      <c r="L14" s="1259">
        <f t="shared" si="0"/>
        <v>0</v>
      </c>
      <c r="M14" s="1259">
        <f t="shared" si="0"/>
        <v>0</v>
      </c>
      <c r="N14" s="1257">
        <f t="shared" si="0"/>
        <v>180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241</v>
      </c>
      <c r="AE14" s="1257">
        <f t="shared" si="1"/>
        <v>0</v>
      </c>
      <c r="AF14" s="1257">
        <f t="shared" si="1"/>
        <v>39</v>
      </c>
      <c r="AG14" s="1257">
        <f t="shared" si="1"/>
        <v>0</v>
      </c>
      <c r="AH14" s="1257">
        <f t="shared" si="1"/>
        <v>6245</v>
      </c>
      <c r="AI14" s="1257">
        <f t="shared" si="1"/>
        <v>0</v>
      </c>
      <c r="AJ14" s="1257">
        <f t="shared" si="1"/>
        <v>0</v>
      </c>
      <c r="AK14" s="1257">
        <f t="shared" si="1"/>
        <v>0</v>
      </c>
      <c r="AL14" s="1257">
        <f t="shared" si="1"/>
        <v>210</v>
      </c>
      <c r="AM14" s="1257">
        <f t="shared" si="1"/>
        <v>455</v>
      </c>
      <c r="AN14" s="1257">
        <f t="shared" si="1"/>
        <v>0</v>
      </c>
      <c r="AO14" s="1257">
        <f t="shared" si="1"/>
        <v>0</v>
      </c>
      <c r="AP14" s="1262">
        <f>IF(ISNUMBER(((Datos!L14/Datos!K14)*11)/factor_trimestre),((Datos!L14/Datos!K14)*11)/factor_trimestre," - ")</f>
        <v>5.8701298701298699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-0.28846153846153844</v>
      </c>
      <c r="AU14" s="1257" t="str">
        <f>IF(ISNUMBER((DatosP!#REF!-DatosP!#REF!+DatosP!#REF!)/(DatosP!#REF!+DatosP!#REF!-DatosP!#REF!-DatosP!#REF!)),(DatosP!#REF!-DatosP!#REF!+DatosP!#REF!)/(DatosP!#REF!+DatosP!#REF!-DatosP!#REF!-DatosP!#REF!)," - ")</f>
        <v xml:space="preserve"> - </v>
      </c>
      <c r="AV14" s="1263">
        <f>SUBTOTAL(9,AV9:AV13)</f>
        <v>-9.6733269901680945E-3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1.7810718358038768</v>
      </c>
      <c r="AQ23" s="1262">
        <f>IF(ISNUMBER(((Datos!M23/Datos!L23)*11)/factor_trimestre),((Datos!M23/Datos!L23)*11)/factor_trimestre," - ")</f>
        <v>0.1997439180537772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-5.4726368159203981E-2</v>
      </c>
      <c r="AW23" s="1265">
        <f>IF(ISNUMBER((Datos!Q23-Datos!R23)/(Datos!S23-Datos!Q23+Datos!R23)),(Datos!Q23-Datos!R23)/(Datos!S23-Datos!Q23+Datos!R23)," - ")</f>
        <v>-0.14223002633889376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52</v>
      </c>
      <c r="G31" s="1278">
        <f t="shared" si="8"/>
        <v>52</v>
      </c>
      <c r="H31" s="1278">
        <f t="shared" si="8"/>
        <v>0</v>
      </c>
      <c r="I31" s="1279">
        <f t="shared" si="8"/>
        <v>0</v>
      </c>
      <c r="J31" s="1280">
        <f t="shared" si="8"/>
        <v>0</v>
      </c>
      <c r="K31" s="1280">
        <f t="shared" si="8"/>
        <v>0</v>
      </c>
      <c r="L31" s="1280">
        <f t="shared" si="8"/>
        <v>0</v>
      </c>
      <c r="M31" s="1280">
        <f t="shared" si="8"/>
        <v>0</v>
      </c>
      <c r="N31" s="1279">
        <f t="shared" si="8"/>
        <v>180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241</v>
      </c>
      <c r="AE31" s="1284">
        <f t="shared" si="9"/>
        <v>0</v>
      </c>
      <c r="AF31" s="1285">
        <f t="shared" si="9"/>
        <v>39</v>
      </c>
      <c r="AG31" s="1285">
        <f t="shared" si="9"/>
        <v>0</v>
      </c>
      <c r="AH31" s="1285">
        <f t="shared" si="9"/>
        <v>6245</v>
      </c>
      <c r="AI31" s="1285">
        <f t="shared" si="9"/>
        <v>0</v>
      </c>
      <c r="AJ31" s="1286">
        <f t="shared" si="9"/>
        <v>0</v>
      </c>
      <c r="AK31" s="1286">
        <f t="shared" si="9"/>
        <v>0</v>
      </c>
      <c r="AL31" s="1278">
        <f t="shared" si="9"/>
        <v>210</v>
      </c>
      <c r="AM31" s="1278">
        <f t="shared" si="9"/>
        <v>455</v>
      </c>
      <c r="AN31" s="1278">
        <f t="shared" si="9"/>
        <v>0</v>
      </c>
      <c r="AO31" s="1278">
        <f t="shared" si="9"/>
        <v>0</v>
      </c>
      <c r="AP31" s="1278">
        <f>IF(ISNUMBER(((Datos!L31/Datos!K31)*11)/factor_trimestre),((Datos!L31/Datos!K31)*11)/factor_trimestre," - ")</f>
        <v>3.7900232018561484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-0.28846153846153844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-1.1040532365396248E-2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28.481572990268639</v>
      </c>
      <c r="G33" s="1007">
        <f>IF(ISNUMBER(STDEV(G8:G30)),STDEV(G8:G30),"-")</f>
        <v>28.481572990268639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103.61274052933838</v>
      </c>
      <c r="AM33" s="1006"/>
      <c r="AN33" s="1006">
        <f>IF(ISNUMBER(STDEV(AN8:AN30)),STDEV(AN8:AN30),"-")</f>
        <v>0</v>
      </c>
      <c r="AO33" s="1012">
        <f>IF(ISNUMBER(STDEV(AO8:AO30)),STDEV(AO8:AO30),"-")</f>
        <v>0</v>
      </c>
      <c r="AP33" s="1065">
        <f>IF(ISNUMBER(STDEV(AP8:AP30)),STDEV(AP8:AP30),"-")</f>
        <v>1.856265414554984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ZJQ1XpnV+p/NYNnANaWUoGlLeCidnNnOponH3PDlzuHONuoQlM55Zw2WUASvZS/f1qeJO+6+S3yT+Dq0QbLVQ==" saltValue="CHylSThAG8ON33NTc0Zl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ELDA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dKn9DInar7v3y0hHlOAgzE6p5Jso0dUGaNqOBPA5O+kDLRwglQ+IglKvMqut5AHQx/+QYNiw6SQ60jKgV9K6w==" saltValue="yrkBNZIBa/xUPNrES2YfJ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ELDA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13</v>
      </c>
      <c r="E10" s="452">
        <f>IF(ISNUMBER(D10/B10),D10/B10," - ")</f>
        <v>13</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197</v>
      </c>
      <c r="E12" s="452">
        <f t="shared" si="0"/>
        <v>49.25</v>
      </c>
      <c r="F12" s="451">
        <f>IF(ISNUMBER(Datos!N12),Datos!N12," - ")</f>
        <v>452</v>
      </c>
      <c r="G12" s="452">
        <f t="shared" si="1"/>
        <v>113</v>
      </c>
      <c r="H12" s="451">
        <f>IF(ISNUMBER(Datos!O12),Datos!O12," - ")</f>
        <v>432</v>
      </c>
      <c r="I12" s="452">
        <f t="shared" si="2"/>
        <v>108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210</v>
      </c>
      <c r="E14" s="1147">
        <f t="shared" si="0"/>
        <v>42</v>
      </c>
      <c r="F14" s="1146">
        <f>SUBTOTAL(9,F9:F13)</f>
        <v>455</v>
      </c>
      <c r="G14" s="1147">
        <f t="shared" si="1"/>
        <v>91</v>
      </c>
      <c r="H14" s="1146">
        <f>SUBTOTAL(9,H9:H13)</f>
        <v>432</v>
      </c>
      <c r="I14" s="1147">
        <f>IF(ISNUMBER(H14/B14),H14/B14," - ")</f>
        <v>86.4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72</v>
      </c>
      <c r="E17" s="452">
        <f t="shared" si="3"/>
        <v>18</v>
      </c>
      <c r="F17" s="451">
        <f>IF(ISNUMBER(Datos!N17),Datos!N17," - ")</f>
        <v>420</v>
      </c>
      <c r="G17" s="452">
        <f t="shared" si="4"/>
        <v>105</v>
      </c>
      <c r="H17" s="451">
        <f>IF(ISNUMBER(Datos!O17),Datos!O17," - ")</f>
        <v>16</v>
      </c>
      <c r="I17" s="452">
        <f t="shared" si="5"/>
        <v>4</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85</v>
      </c>
      <c r="G18" s="452">
        <f>IF(ISNUMBER(F18/B18),F18/B18," - ")</f>
        <v>85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78</v>
      </c>
      <c r="E23" s="1147">
        <f t="shared" si="3"/>
        <v>15.6</v>
      </c>
      <c r="F23" s="1146">
        <f>SUBTOTAL(9,F16:F22)</f>
        <v>505</v>
      </c>
      <c r="G23" s="1147">
        <f t="shared" si="4"/>
        <v>101</v>
      </c>
      <c r="H23" s="1146">
        <f>SUBTOTAL(9,H16:H22)</f>
        <v>16</v>
      </c>
      <c r="I23" s="1147">
        <f>IF(ISNUMBER(H23/B23),H23/B23," - ")</f>
        <v>3.2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288</v>
      </c>
      <c r="E31" s="1085">
        <f>IF(ISNUMBER(D31/B31),D31/B31," - ")</f>
        <v>72</v>
      </c>
      <c r="F31" s="1084">
        <f>SUBTOTAL(9,F8:F30)</f>
        <v>960</v>
      </c>
      <c r="G31" s="1085">
        <f>IF(ISNUMBER(F31/B31),F31/B31," - ")</f>
        <v>240</v>
      </c>
      <c r="H31" s="1084">
        <f>SUBTOTAL(9,H8:H30)</f>
        <v>448</v>
      </c>
      <c r="I31" s="1085">
        <f>IF(ISNUMBER(H31/B31),H31/B31," - ")</f>
        <v>112</v>
      </c>
    </row>
    <row r="34" spans="1:1">
      <c r="A34" s="439" t="str">
        <f>Criterios!A4</f>
        <v>Fecha Informe: 06 may. 2023</v>
      </c>
    </row>
    <row r="39" spans="1:1">
      <c r="A39" s="462"/>
    </row>
  </sheetData>
  <sheetProtection algorithmName="SHA-512" hashValue="t8JaUfSuoEnsAnVdGH4H1Yrs6yPgwM5m18gzBZ+ehK1RbdRZVPnPE0lRJL4WdPoF2paQ1fxtRWFiZhhXp9zkSA==" saltValue="AGUdCqpfjeudLgGUQVSl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ELDA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104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180</v>
      </c>
      <c r="C12" s="489">
        <f>IF(ISNUMBER(Datos!Q12),Datos!Q12," - ")</f>
        <v>241</v>
      </c>
      <c r="D12" s="456">
        <f>IF(ISNUMBER(Datos!R12),Datos!R12," - ")</f>
        <v>6245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180</v>
      </c>
      <c r="C14" s="1150">
        <f>SUBTOTAL(9,C9:C13)</f>
        <v>242</v>
      </c>
      <c r="D14" s="1148">
        <f>SUBTOTAL(9,D9:D13)</f>
        <v>6349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28</v>
      </c>
      <c r="D17" s="456">
        <f>IF(ISNUMBER(Datos!R17),Datos!R17," - ")</f>
        <v>190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28</v>
      </c>
      <c r="D23" s="1148">
        <f>SUBTOTAL(9,D16:D22)</f>
        <v>190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197</v>
      </c>
      <c r="C31" s="1089">
        <f>SUBTOTAL(9,C8:C30)</f>
        <v>270</v>
      </c>
      <c r="D31" s="1090">
        <f>SUBTOTAL(9,D8:D30)</f>
        <v>6539</v>
      </c>
    </row>
    <row r="32" spans="1:4" ht="7.5" customHeight="1"/>
    <row r="33" spans="1:1" ht="6" customHeight="1"/>
    <row r="34" spans="1:1">
      <c r="A34" s="439" t="str">
        <f>Criterios!A4</f>
        <v>Fecha Informe: 06 may. 2023</v>
      </c>
    </row>
    <row r="39" spans="1:1">
      <c r="A39" s="462"/>
    </row>
  </sheetData>
  <sheetProtection algorithmName="SHA-512" hashValue="q6IZj6/ppZPT6bBq9zE21nx1AebA7N7bb/zpRCGI3pGEuHFRrxewxV5dG1Kha7uGnwRyQ9P/8DapxGYMJPWDhw==" saltValue="IgZoA4sANRzkkiKTlEZd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ELDA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-0.77777777777777779</v>
      </c>
      <c r="D10" s="515">
        <f>IF(ISNUMBER((Datos!K10-Datos!U10)/Datos!U10),(Datos!K10-Datos!U10)/Datos!U10," - ")</f>
        <v>2.75</v>
      </c>
      <c r="E10" s="515">
        <f>IF(ISNUMBER((Datos!L10-Datos!V10)/Datos!V10),(Datos!L10-Datos!V10)/Datos!V10," - ")</f>
        <v>-0.31578947368421051</v>
      </c>
      <c r="F10" s="515">
        <f>IF(ISNUMBER((Datos!M10-Datos!W10)/Datos!W10),(Datos!M10-Datos!W10)/Datos!W10," - ")</f>
        <v>2.25</v>
      </c>
      <c r="G10" s="516" t="str">
        <f>IF(ISNUMBER((Datos!N10-Datos!X10)/Datos!X10),(Datos!N10-Datos!X10)/Datos!X10," - ")</f>
        <v xml:space="preserve"> - </v>
      </c>
      <c r="H10" s="514">
        <f>IF(ISNUMBER(((NºAsuntos!G10/NºAsuntos!E10)-Datos!BD10)/Datos!BD10),((NºAsuntos!G10/NºAsuntos!E10)-Datos!BD10)/Datos!BD10," - ")</f>
        <v>15.875</v>
      </c>
      <c r="I10" s="515">
        <f>IF(ISNUMBER(((NºAsuntos!I10/NºAsuntos!G10)-Datos!BE10)/Datos!BE10),((NºAsuntos!I10/NºAsuntos!G10)-Datos!BE10)/Datos!BE10," - ")</f>
        <v>-0.81754385964912279</v>
      </c>
      <c r="J10" s="521">
        <f>IF(ISNUMBER((('Resol  Asuntos'!D10/NºAsuntos!G10)-Datos!BF10)/Datos!BF10),(('Resol  Asuntos'!D10/NºAsuntos!G10)-Datos!BF10)/Datos!BF10," - ")</f>
        <v>-0.1333333333333333</v>
      </c>
      <c r="K10" s="522">
        <f>IF(ISNUMBER((((NºAsuntos!C10+NºAsuntos!E10)/NºAsuntos!G10)-Datos!BG10)/Datos!BG10),(((NºAsuntos!C10+NºAsuntos!E10)/NºAsuntos!G10)-Datos!BG10)/Datos!BG10," - ")</f>
        <v>-0.76393442622950825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-0.12891478514202476</v>
      </c>
      <c r="C12" s="515">
        <f>IF(ISNUMBER(
   IF(J_V="SI",(Datos!J12-Datos!T12)/Datos!T12,(Datos!J12+Datos!Z12-(Datos!T12+Datos!AH12))/(Datos!T12+Datos!AH12))
     ),IF(J_V="SI",(Datos!J12-Datos!T12)/Datos!T12,(Datos!J12+Datos!Z12-(Datos!T12+Datos!AH12))/(Datos!T12+Datos!AH12))," - ")</f>
        <v>0.19306358381502889</v>
      </c>
      <c r="D12" s="515">
        <f>IF(ISNUMBER(
   IF(J_V="SI",(Datos!K12-Datos!U12)/Datos!U12,(Datos!K12+Datos!AA12-(Datos!U12+Datos!AI12))/(Datos!U12+Datos!AI12))
     ),IF(J_V="SI",(Datos!K12-Datos!U12)/Datos!U12,(Datos!K12+Datos!AA12-(Datos!U12+Datos!AI12))/(Datos!U12+Datos!AI12))," - ")</f>
        <v>-5.2742616033755272E-3</v>
      </c>
      <c r="E12" s="515">
        <f>IF(ISNUMBER(
   IF(J_V="SI",(Datos!L12-Datos!V12)/Datos!V12,(Datos!L12+Datos!AB12-(Datos!V12+Datos!AJ12))/(Datos!V12+Datos!AJ12))
     ),IF(J_V="SI",(Datos!L12-Datos!V12)/Datos!V12,(Datos!L12+Datos!AB12-(Datos!V12+Datos!AJ12))/(Datos!V12+Datos!AJ12))," - ")</f>
        <v>-6.8343972962823879E-2</v>
      </c>
      <c r="F12" s="515">
        <f>IF(ISNUMBER((Datos!M12-Datos!W12)/Datos!W12),(Datos!M12-Datos!W12)/Datos!W12," - ")</f>
        <v>0.60162601626016265</v>
      </c>
      <c r="G12" s="516">
        <f>IF(ISNUMBER((Datos!N12-Datos!X12)/Datos!X12),(Datos!N12-Datos!X12)/Datos!X12," - ")</f>
        <v>7.8758949880668255E-2</v>
      </c>
      <c r="H12" s="514">
        <f>IF(ISNUMBER(((NºAsuntos!G12/NºAsuntos!E12)-Datos!BD12)/Datos!BD12),((NºAsuntos!G12/NºAsuntos!E12)-Datos!BD12)/Datos!BD12," - ")</f>
        <v>-0.1662424770222091</v>
      </c>
      <c r="I12" s="515">
        <f>IF(ISNUMBER(((NºAsuntos!I12/NºAsuntos!G12)-Datos!BE12)/Datos!BE12),((NºAsuntos!I12/NºAsuntos!G12)-Datos!BE12)/Datos!BE12," - ")</f>
        <v>-6.3404121281820908E-2</v>
      </c>
      <c r="J12" s="521">
        <f>IF(ISNUMBER((('Resol  Asuntos'!D12/NºAsuntos!G12)-Datos!BF12)/Datos!BF12),(('Resol  Asuntos'!D12/NºAsuntos!G12)-Datos!BF12)/Datos!BF12," - ")</f>
        <v>-0.52734000308769302</v>
      </c>
      <c r="K12" s="522">
        <f>IF(ISNUMBER((((NºAsuntos!C12+NºAsuntos!E12)/NºAsuntos!G12)-Datos!BG12)/Datos!BG12),(((NºAsuntos!C12+NºAsuntos!E12)/NºAsuntos!G12)-Datos!BG12)/Datos!BG12," - ")</f>
        <v>-4.6758564102323201E-2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-0.12651894210150108</v>
      </c>
      <c r="C14" s="1152">
        <f>IF(ISNUMBER(
   IF(J_V="SI",(Datos!J14-Datos!T14)/Datos!T14,(Datos!J14+Datos!Z14-(Datos!T14+Datos!AH14))/(Datos!T14+Datos!AH14))
     ),IF(J_V="SI",(Datos!J14-Datos!T14)/Datos!T14,(Datos!J14+Datos!Z14-(Datos!T14+Datos!AH14))/(Datos!T14+Datos!AH14))," - ")</f>
        <v>0.18306636155606407</v>
      </c>
      <c r="D14" s="1152">
        <f>IF(ISNUMBER(
   IF(J_V="SI",(Datos!K14-Datos!U14)/Datos!U14,(Datos!K14+Datos!AA14-(Datos!U14+Datos!AI14))/(Datos!U14+Datos!AI14))
     ),IF(J_V="SI",(Datos!K14-Datos!U14)/Datos!U14,(Datos!K14+Datos!AA14-(Datos!U14+Datos!AI14))/(Datos!U14+Datos!AI14))," - ")</f>
        <v>6.3025210084033615E-3</v>
      </c>
      <c r="E14" s="1152">
        <f>IF(ISNUMBER(
   IF(J_V="SI",(Datos!L14-Datos!V14)/Datos!V14,(Datos!L14+Datos!AB14-(Datos!V14+Datos!AJ14))/(Datos!V14+Datos!AJ14))
     ),IF(J_V="SI",(Datos!L14-Datos!V14)/Datos!V14,(Datos!L14+Datos!AB14-(Datos!V14+Datos!AJ14))/(Datos!V14+Datos!AJ14))," - ")</f>
        <v>-7.3529411764705885E-2</v>
      </c>
      <c r="F14" s="1153">
        <f>IF(ISNUMBER((Datos!M14-Datos!W14)/Datos!W14),(Datos!M14-Datos!W14)/Datos!W14," - ")</f>
        <v>0.65354330708661412</v>
      </c>
      <c r="G14" s="1154">
        <f>IF(ISNUMBER((Datos!N14-Datos!X14)/Datos!X14),(Datos!N14-Datos!X14)/Datos!X14," - ")</f>
        <v>8.5918854415274457E-2</v>
      </c>
      <c r="H14" s="1154">
        <f>IF(ISNUMBER(((NºAsuntos!G14/NºAsuntos!E14)-Datos!BD14)/Datos!BD14),((NºAsuntos!G14/NºAsuntos!E14)-Datos!BD14)/Datos!BD14," - ")</f>
        <v>-0.14941160216504398</v>
      </c>
      <c r="I14" s="1154">
        <f>IF(ISNUMBER(((NºAsuntos!I14/NºAsuntos!G14)-Datos!BE14)/Datos!BE14),((NºAsuntos!I14/NºAsuntos!G14)-Datos!BE14)/Datos!BE14," - ")</f>
        <v>-7.9331941544885251E-2</v>
      </c>
      <c r="J14" s="1154">
        <f>IF(ISNUMBER((('Resol  Asuntos'!D14/NºAsuntos!G14)-Datos!BF14)/Datos!BF14),(('Resol  Asuntos'!D14/NºAsuntos!G14)-Datos!BF14)/Datos!BF14," - ")</f>
        <v>-0.50665541390900071</v>
      </c>
      <c r="K14" s="1154">
        <f>IF(ISNUMBER((((NºAsuntos!C14+NºAsuntos!E14)/NºAsuntos!G14)-Datos!BG14)/Datos!BG14),(((NºAsuntos!C14+NºAsuntos!E14)/NºAsuntos!G14)-Datos!BG14)/Datos!BG14," - ")</f>
        <v>-5.8764401144359449E-2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-0.25350467289719625</v>
      </c>
      <c r="C17" s="515">
        <f>IF(ISNUMBER(
   IF(D_I="SI",(Datos!J17-Datos!T17)/Datos!T17,(Datos!J17+Datos!AD17-(Datos!T17+Datos!AL17))/(Datos!T17+Datos!AL17))
     ),IF(D_I="SI",(Datos!J17-Datos!T17)/Datos!T17,(Datos!J17+Datos!AD17-(Datos!T17+Datos!AL17))/(Datos!T17+Datos!AL17))," - ")</f>
        <v>6.6104078762306617E-2</v>
      </c>
      <c r="D17" s="515">
        <f>IF(ISNUMBER(
   IF(D_I="SI",(Datos!K17-Datos!U17)/Datos!U17,(Datos!K17+Datos!AE17-(Datos!U17+Datos!AM17))/(Datos!U17+Datos!AM17))
     ),IF(D_I="SI",(Datos!K17-Datos!U17)/Datos!U17,(Datos!K17+Datos!AE17-(Datos!U17+Datos!AM17))/(Datos!U17+Datos!AM17))," - ")</f>
        <v>0.18769716088328076</v>
      </c>
      <c r="E17" s="515">
        <f>IF(ISNUMBER(
   IF(D_I="SI",(Datos!L17-Datos!V17)/Datos!V17,(Datos!L17+Datos!AF17-(Datos!V17+Datos!AN17))/(Datos!V17+Datos!AN17))
     ),IF(D_I="SI",(Datos!L17-Datos!V17)/Datos!V17,(Datos!L17+Datos!AF17-(Datos!V17+Datos!AN17))/(Datos!V17+Datos!AN17))," - ")</f>
        <v>-0.26304801670146138</v>
      </c>
      <c r="F17" s="515">
        <f>IF(ISNUMBER((Datos!M17-Datos!W17)/Datos!W17),(Datos!M17-Datos!W17)/Datos!W17," - ")</f>
        <v>0.22033898305084745</v>
      </c>
      <c r="G17" s="516">
        <f>IF(ISNUMBER((Datos!N17-Datos!X17)/Datos!X17),(Datos!N17-Datos!X17)/Datos!X17," - ")</f>
        <v>0.2316715542521994</v>
      </c>
      <c r="H17" s="514">
        <f>IF(ISNUMBER(((NºAsuntos!G17/NºAsuntos!E17)-Datos!BD17)/Datos!BD17),((NºAsuntos!G17/NºAsuntos!E17)-Datos!BD17)/Datos!BD17," - ")</f>
        <v>0.11405366937732538</v>
      </c>
      <c r="I17" s="515">
        <f>IF(ISNUMBER(((NºAsuntos!I17/NºAsuntos!G17)-Datos!BE17)/Datos!BE17),((NºAsuntos!I17/NºAsuntos!G17)-Datos!BE17)/Datos!BE17," - ")</f>
        <v>-0.37951187594784391</v>
      </c>
      <c r="J17" s="521">
        <f>IF(ISNUMBER((('Resol  Asuntos'!D17/NºAsuntos!G17)-Datos!BF17)/Datos!BF17),(('Resol  Asuntos'!D17/NºAsuntos!G17)-Datos!BF17)/Datos!BF17," - ")</f>
        <v>2.7483287190222097E-2</v>
      </c>
      <c r="K17" s="522">
        <f>IF(ISNUMBER((((NºAsuntos!C17+NºAsuntos!E17)/NºAsuntos!G17)-Datos!BG17)/Datos!BG17),(((NºAsuntos!C17+NºAsuntos!E17)/NºAsuntos!G17)-Datos!BG17)/Datos!BG17," - ")</f>
        <v>-0.24937730465078645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1.6528925619834711E-2</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1.1016949152542372</v>
      </c>
      <c r="E18" s="515">
        <f>IF(ISNUMBER(
   IF(D_I="SI",(Datos!L18-Datos!V18)/Datos!V18,(Datos!L18+Datos!AF18-(Datos!V18+Datos!AN18))/(Datos!V18+Datos!AN18))
     ),IF(D_I="SI",(Datos!L18-Datos!V18)/Datos!V18,(Datos!L18+Datos!AF18-(Datos!V18+Datos!AN18))/(Datos!V18+Datos!AN18))," - ")</f>
        <v>-0.45652173913043476</v>
      </c>
      <c r="F18" s="515">
        <f>IF(ISNUMBER((Datos!M18-Datos!W18)/Datos!W18),(Datos!M18-Datos!W18)/Datos!W18," - ")</f>
        <v>-0.33333333333333331</v>
      </c>
      <c r="G18" s="516">
        <f>IF(ISNUMBER((Datos!N18-Datos!X18)/Datos!X18),(Datos!N18-Datos!X18)/Datos!X18," - ")</f>
        <v>0.44067796610169491</v>
      </c>
      <c r="H18" s="514">
        <f>IF(ISNUMBER(((NºAsuntos!G18/NºAsuntos!E18)-Datos!BD18)/Datos!BD18),((NºAsuntos!G18/NºAsuntos!E18)-Datos!BD18)/Datos!BD18," - ")</f>
        <v>1.1016949152542372</v>
      </c>
      <c r="I18" s="515">
        <f>IF(ISNUMBER(((NºAsuntos!I18/NºAsuntos!G18)-Datos!BE18)/Datos!BE18),((NºAsuntos!I18/NºAsuntos!G18)-Datos!BE18)/Datos!BE18," - ")</f>
        <v>-0.74140953716690039</v>
      </c>
      <c r="J18" s="521">
        <f>IF(ISNUMBER((('Resol  Asuntos'!D18/NºAsuntos!G18)-Datos!BF18)/Datos!BF18),(('Resol  Asuntos'!D18/NºAsuntos!G18)-Datos!BF18)/Datos!BF18," - ")</f>
        <v>-0.68279569892473124</v>
      </c>
      <c r="K18" s="522">
        <f>IF(ISNUMBER((((NºAsuntos!C18+NºAsuntos!E18)/NºAsuntos!G18)-Datos!BG18)/Datos!BG18),(((NºAsuntos!C18+NºAsuntos!E18)/NºAsuntos!G18)-Datos!BG18)/Datos!BG18," - ")</f>
        <v>-0.51936302603569673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-0.22006141248720573</v>
      </c>
      <c r="C23" s="1152">
        <f>IF(ISNUMBER(
   IF(Criterios!B14="SI",(Datos!J23-Datos!T23)/Datos!T23,(Datos!J23+Datos!AD23-(Datos!T23+Datos!AL23))/(Datos!T23+Datos!AL23))
     ),IF(Criterios!B14="SI",(Datos!J23-Datos!T23)/Datos!T23,(Datos!J23+Datos!AD23-(Datos!T23+Datos!AL23))/(Datos!T23+Datos!AL23))," - ")</f>
        <v>5.9720457433290977E-2</v>
      </c>
      <c r="D23" s="1152">
        <f>IF(ISNUMBER(
   IF(Criterios!B14="SI",(Datos!K23-Datos!U23)/Datos!U23,(Datos!K23+Datos!AE23-(Datos!U23+Datos!AM23))/(Datos!U23+Datos!AM23))
     ),IF(Criterios!B14="SI",(Datos!K23-Datos!U23)/Datos!U23,(Datos!K23+Datos!AE23-(Datos!U23+Datos!AM23))/(Datos!U23+Datos!AM23))," - ")</f>
        <v>0.26551226551226553</v>
      </c>
      <c r="E23" s="1152">
        <f>IF(ISNUMBER(
   IF(Criterios!B14="SI",(Datos!L23-Datos!V23)/Datos!V23,(Datos!L23+Datos!AF23-(Datos!V23+Datos!AN23))/(Datos!V23+Datos!AN23))
     ),IF(Criterios!B14="SI",(Datos!L23-Datos!V23)/Datos!V23,(Datos!L23+Datos!AF23-(Datos!V23+Datos!AN23))/(Datos!V23+Datos!AN23))," - ")</f>
        <v>-0.28740875912408759</v>
      </c>
      <c r="F23" s="1153">
        <f>IF(ISNUMBER((Datos!M23-Datos!W23)/Datos!W23),(Datos!M23-Datos!W23)/Datos!W23," - ")</f>
        <v>0.14705882352941177</v>
      </c>
      <c r="G23" s="1154">
        <f>IF(ISNUMBER((Datos!N23-Datos!X23)/Datos!X23),(Datos!N23-Datos!X23)/Datos!X23," - ")</f>
        <v>0.26250000000000001</v>
      </c>
      <c r="H23" s="1154">
        <f>IF(ISNUMBER(((NºAsuntos!G23/NºAsuntos!E23)-Datos!BD23)/Datos!BD23),((NºAsuntos!G23/NºAsuntos!E23)-Datos!BD23)/Datos!BD23," - ")</f>
        <v>0.19419442800737749</v>
      </c>
      <c r="I23" s="1154">
        <f>IF(ISNUMBER(((NºAsuntos!I23/NºAsuntos!G23)-Datos!BE23)/Datos!BE23),((NºAsuntos!I23/NºAsuntos!G23)-Datos!BE23)/Datos!BE23," - ")</f>
        <v>-0.4369147891368218</v>
      </c>
      <c r="J23" s="1154">
        <f>IF(ISNUMBER((('Resol  Asuntos'!D23/NºAsuntos!G23)-Datos!BF23)/Datos!BF23),(('Resol  Asuntos'!D23/NºAsuntos!G23)-Datos!BF23)/Datos!BF23," - ")</f>
        <v>-9.3601180495003086E-2</v>
      </c>
      <c r="K23" s="1154">
        <f>IF(ISNUMBER((((NºAsuntos!C23+NºAsuntos!E23)/NºAsuntos!G23)-Datos!BG23)/Datos!BG23),(((NºAsuntos!C23+NºAsuntos!E23)/NºAsuntos!G23)-Datos!BG23)/Datos!BG23," - ")</f>
        <v>-0.28506271379703535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-0.15072847682119206</v>
      </c>
      <c r="C31" s="1092">
        <f>IF(ISNUMBER(
   IF(J_V="SI",(Datos!J31-Datos!T31)/Datos!T31,(Datos!J31+Datos!Z31-(Datos!T31+Datos!AH31))/(Datos!T31+Datos!AH31))
     ),IF(J_V="SI",(Datos!J31-Datos!T31)/Datos!T31,(Datos!J31+Datos!Z31-(Datos!T31+Datos!AH31))/(Datos!T31+Datos!AH31))," - ")</f>
        <v>0.12462372065021071</v>
      </c>
      <c r="D31" s="1092">
        <f>IF(ISNUMBER(
   IF(J_V="SI",(Datos!K31-Datos!U31)/Datos!U31,(Datos!K31+Datos!AA31-(Datos!U31+Datos!AI31))/(Datos!U31+Datos!AI31))
     ),IF(J_V="SI",(Datos!K31-Datos!U31)/Datos!U31,(Datos!K31+Datos!AA31-(Datos!U31+Datos!AI31))/(Datos!U31+Datos!AI31))," - ")</f>
        <v>0.11550151975683891</v>
      </c>
      <c r="E31" s="1092">
        <f>IF(ISNUMBER(
   IF(J_V="SI",(Datos!L31-Datos!V31)/Datos!V31,(Datos!L31+Datos!AB31-(Datos!V31+Datos!AJ31))/(Datos!V31+Datos!AJ31))
     ),IF(J_V="SI",(Datos!L31-Datos!V31)/Datos!V31,(Datos!L31+Datos!AB31-(Datos!V31+Datos!AJ31))/(Datos!V31+Datos!AJ31))," - ")</f>
        <v>-0.134958071278826</v>
      </c>
      <c r="F31" s="1093">
        <f>IF(ISNUMBER((Datos!M31-Datos!W31)/Datos!W31),(Datos!M31-Datos!W31)/Datos!W31," - ")</f>
        <v>0.47692307692307695</v>
      </c>
      <c r="G31" s="1094">
        <f>IF(ISNUMBER((Datos!N31-Datos!X31)/Datos!X31),(Datos!N31-Datos!X31)/Datos!X31," - ")</f>
        <v>0.17216117216117216</v>
      </c>
      <c r="H31" s="1095">
        <f>IF(ISNUMBER((Tasas!B31-Datos!BD31)/Datos!BD31),(Tasas!B31-Datos!BD31)/Datos!BD31," - ")</f>
        <v>-8.1113360192134349E-3</v>
      </c>
      <c r="I31" s="1096">
        <f>IF(ISNUMBER((Tasas!C31-Datos!BE31)/Datos!BE31),(Tasas!C31-Datos!BE31)/Datos!BE31," - ")</f>
        <v>-0.2245264453698467</v>
      </c>
      <c r="J31" s="1097">
        <f>IF(ISNUMBER((Tasas!D31-Datos!BF31)/Datos!BF31),(Tasas!D31-Datos!BF31)/Datos!BF31," - ")</f>
        <v>-0.47417548571840812</v>
      </c>
      <c r="K31" s="1097">
        <f>IF(ISNUMBER((Tasas!E31-Datos!BG31)/Datos!BG31),(Tasas!E31-Datos!BG31)/Datos!BG31," - ")</f>
        <v>-0.16324012086142833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L/1L9SQiPSTNuRbfOjQXw27vjukKSutwlPm2suiaSEfaaGA+PobS76F7H/fAusAACyPkGyewDANJEvZP4AQ==" saltValue="QYWQIj8e69RUzhHi6D2Gy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ELDA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7.5</v>
      </c>
      <c r="C10" s="498">
        <f>IF(ISNUMBER(NºAsuntos!I10/NºAsuntos!G10),NºAsuntos!I10/NºAsuntos!G10," - ")</f>
        <v>2.6</v>
      </c>
      <c r="D10" s="499">
        <f>IF(ISNUMBER('Resol  Asuntos'!D10/NºAsuntos!G10),'Resol  Asuntos'!D10/NºAsuntos!G10," - ")</f>
        <v>0.8666666666666667</v>
      </c>
      <c r="E10" s="500">
        <f>IF(ISNUMBER((NºAsuntos!C10+NºAsuntos!E10)/NºAsuntos!G10),(NºAsuntos!C10+NºAsuntos!E10)/NºAsuntos!G10," - ")</f>
        <v>3.6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0.91375968992248058</v>
      </c>
      <c r="C12" s="498">
        <f>IF(ISNUMBER(NºAsuntos!I12/NºAsuntos!G12),NºAsuntos!I12/NºAsuntos!G12," - ")</f>
        <v>2.6309650053022269</v>
      </c>
      <c r="D12" s="499">
        <f>IF(ISNUMBER('Resol  Asuntos'!D12/NºAsuntos!G12),'Resol  Asuntos'!D12/NºAsuntos!G12," - ")</f>
        <v>0.20890774125132555</v>
      </c>
      <c r="E12" s="500">
        <f>IF(ISNUMBER((NºAsuntos!C12+NºAsuntos!E12)/NºAsuntos!G12),(NºAsuntos!C12+NºAsuntos!E12)/NºAsuntos!G12," - ")</f>
        <v>3.6309650053022269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0.92649903288201163</v>
      </c>
      <c r="C14" s="1156">
        <f>IF(ISNUMBER(NºAsuntos!I14/NºAsuntos!G14),NºAsuntos!I14/NºAsuntos!G14," - ")</f>
        <v>2.6304801670146136</v>
      </c>
      <c r="D14" s="1157">
        <f>IF(ISNUMBER('Resol  Asuntos'!D14/NºAsuntos!G14),'Resol  Asuntos'!D14/NºAsuntos!G14," - ")</f>
        <v>0.21920668058455114</v>
      </c>
      <c r="E14" s="1158">
        <f>IF(ISNUMBER((NºAsuntos!C14+NºAsuntos!E14)/NºAsuntos!G14),(NºAsuntos!C14+NºAsuntos!E14)/NºAsuntos!G14," - ")</f>
        <v>3.6304801670146136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0.99340369393139838</v>
      </c>
      <c r="C17" s="498">
        <f>IF(ISNUMBER(NºAsuntos!I17/NºAsuntos!G17),NºAsuntos!I17/NºAsuntos!G17," - ")</f>
        <v>0.9375830013280213</v>
      </c>
      <c r="D17" s="499">
        <f>IF(ISNUMBER('Resol  Asuntos'!D17/NºAsuntos!G17),'Resol  Asuntos'!D17/NºAsuntos!G17," - ")</f>
        <v>9.5617529880478086E-2</v>
      </c>
      <c r="E17" s="500">
        <f>IF(ISNUMBER((NºAsuntos!C17+NºAsuntos!E17)/NºAsuntos!G17),(NºAsuntos!C17+NºAsuntos!E17)/NºAsuntos!G17," - ")</f>
        <v>1.8552456839309428</v>
      </c>
      <c r="G17" s="523"/>
    </row>
    <row r="18" spans="1:7">
      <c r="A18" s="450" t="str">
        <f>Datos!A18</f>
        <v>Jdos. Violencia contra la mujer</v>
      </c>
      <c r="B18" s="497">
        <f>IF(ISNUMBER(NºAsuntos!G18/NºAsuntos!E18),NºAsuntos!G18/NºAsuntos!E18," - ")</f>
        <v>1.631578947368421</v>
      </c>
      <c r="C18" s="498">
        <f>IF(ISNUMBER(NºAsuntos!I18/NºAsuntos!G18),NºAsuntos!I18/NºAsuntos!G18," - ")</f>
        <v>0.60483870967741937</v>
      </c>
      <c r="D18" s="499">
        <f>IF(ISNUMBER('Resol  Asuntos'!D18/NºAsuntos!G18),'Resol  Asuntos'!D18/NºAsuntos!G18," - ")</f>
        <v>4.8387096774193547E-2</v>
      </c>
      <c r="E18" s="500">
        <f>IF(ISNUMBER((NºAsuntos!C18+NºAsuntos!E18)/NºAsuntos!G18),(NºAsuntos!C18+NºAsuntos!E18)/NºAsuntos!G18," - ")</f>
        <v>1.6048387096774193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1.0515587529976018</v>
      </c>
      <c r="C23" s="1156">
        <f>IF(ISNUMBER(NºAsuntos!I23/NºAsuntos!G23),NºAsuntos!I23/NºAsuntos!G23," - ")</f>
        <v>0.89053591790193842</v>
      </c>
      <c r="D23" s="1159">
        <f>IF(ISNUMBER('Resol  Asuntos'!D23/NºAsuntos!G23),'Resol  Asuntos'!D23/NºAsuntos!G23," - ")</f>
        <v>8.8939566704675024E-2</v>
      </c>
      <c r="E23" s="1158">
        <f>IF(ISNUMBER((NºAsuntos!C23+NºAsuntos!E23)/NºAsuntos!G23),(NºAsuntos!C23+NºAsuntos!E23)/NºAsuntos!G23," - ")</f>
        <v>1.8198403648802737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0.98233404710920769</v>
      </c>
      <c r="C31" s="1099">
        <f>IF(ISNUMBER(NºAsuntos!I31/NºAsuntos!G31),NºAsuntos!I31/NºAsuntos!G31," - ")</f>
        <v>1.7989100817438692</v>
      </c>
      <c r="D31" s="1100">
        <f>IF(ISNUMBER('Resol  Asuntos'!D31/NºAsuntos!G31),'Resol  Asuntos'!D31/NºAsuntos!G31," - ")</f>
        <v>0.1569482288828338</v>
      </c>
      <c r="E31" s="1101">
        <f>IF(ISNUMBER((NºAsuntos!C31+NºAsuntos!E31)/NºAsuntos!G31),(NºAsuntos!C31+NºAsuntos!E31)/NºAsuntos!G31," - ")</f>
        <v>2.7651226158038149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lGMnE82HF5GSilPpLyANOaRw8MO6iuvO0fCkNqmduFJYFQuhjdEhJ+HKjx/dETsF1uxwwJHD9NGH6S6p/BOIA==" saltValue="eaTlZD7YkU5RRSDdyKIY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ELDA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52</v>
      </c>
      <c r="G10" s="373">
        <f>IF(ISNUMBER(Datos!I10),Datos!I10," - ")</f>
        <v>52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1</v>
      </c>
      <c r="Y10" s="374">
        <f t="shared" ref="Y10:Y13" si="0">SUM(W10:X10)</f>
        <v>16</v>
      </c>
      <c r="Z10" s="375" t="str">
        <f>IF(ISNUMBER(Datos!CC10),Datos!CC10," - ")</f>
        <v xml:space="preserve"> - </v>
      </c>
      <c r="AA10" s="372">
        <f>IF(ISNUMBER(Datos!L10),Datos!L10,"-")</f>
        <v>39</v>
      </c>
      <c r="AB10" s="374">
        <f>IF(ISNUMBER(Datos!R10),Datos!R10," - ")</f>
        <v>104</v>
      </c>
      <c r="AC10" s="374">
        <f t="shared" ref="AC10:AC13" si="1">IF(ISNUMBER(AA10+AB10),AA10+AB10," - ")</f>
        <v>143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7.5</v>
      </c>
      <c r="AM10" s="284">
        <f>IF(ISNUMBER(((NºAsuntos!I10/NºAsuntos!G10)*11)/factor_trimestre),((NºAsuntos!I10/NºAsuntos!G10)*11)/factor_trimestre," - ")</f>
        <v>5.2</v>
      </c>
      <c r="AN10" s="267">
        <f>IF(ISNUMBER('Resol  Asuntos'!D10/NºAsuntos!G10),'Resol  Asuntos'!D10/NºAsuntos!G10," - ")</f>
        <v>0.8666666666666667</v>
      </c>
      <c r="AO10" s="268">
        <f>IF(ISNUMBER((NºAsuntos!C10+NºAsuntos!E10)/NºAsuntos!G10),(NºAsuntos!C10+NºAsuntos!E10)/NºAsuntos!G10," - ")</f>
        <v>3.6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241</v>
      </c>
      <c r="Y12" s="374">
        <f t="shared" si="0"/>
        <v>241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6245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197</v>
      </c>
      <c r="AJ12" s="243" t="str">
        <f>IF(ISNUMBER(Datos!BW12),Datos!BW12," - ")</f>
        <v xml:space="preserve"> - </v>
      </c>
      <c r="AK12" s="242" t="str">
        <f>IF(ISNUMBER(Datos!BX12),Datos!BX12," - ")</f>
        <v xml:space="preserve"> - </v>
      </c>
      <c r="AL12" s="266">
        <f>IF(ISNUMBER(NºAsuntos!G12/NºAsuntos!E12),NºAsuntos!G12/NºAsuntos!E12," - ")</f>
        <v>0.91375968992248058</v>
      </c>
      <c r="AM12" s="284">
        <f>IF(ISNUMBER(((NºAsuntos!I12/NºAsuntos!G12)*11)/factor_trimestre),((NºAsuntos!I12/NºAsuntos!G12)*11)/factor_trimestre," - ")</f>
        <v>5.2619300106044538</v>
      </c>
      <c r="AN12" s="267">
        <f>IF(ISNUMBER('Resol  Asuntos'!D12/NºAsuntos!G12),'Resol  Asuntos'!D12/NºAsuntos!G12," - ")</f>
        <v>0.20890774125132555</v>
      </c>
      <c r="AO12" s="268">
        <f>IF(ISNUMBER((NºAsuntos!C12+NºAsuntos!E12)/NºAsuntos!G12),(NºAsuntos!C12+NºAsuntos!E12)/NºAsuntos!G12," - ")</f>
        <v>3.6309650053022269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52</v>
      </c>
      <c r="G14" s="1163">
        <f t="shared" si="5"/>
        <v>52</v>
      </c>
      <c r="H14" s="1162">
        <f t="shared" si="5"/>
        <v>0</v>
      </c>
      <c r="I14" s="1164">
        <f t="shared" si="5"/>
        <v>0</v>
      </c>
      <c r="J14" s="1164">
        <f t="shared" si="5"/>
        <v>0</v>
      </c>
      <c r="K14" s="1164">
        <f t="shared" si="5"/>
        <v>0</v>
      </c>
      <c r="L14" s="1164">
        <f t="shared" si="5"/>
        <v>180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242</v>
      </c>
      <c r="Y14" s="1165">
        <f t="shared" si="6"/>
        <v>257</v>
      </c>
      <c r="Z14" s="1165">
        <f t="shared" si="6"/>
        <v>0</v>
      </c>
      <c r="AA14" s="1165">
        <f t="shared" si="6"/>
        <v>39</v>
      </c>
      <c r="AB14" s="1165">
        <f t="shared" si="6"/>
        <v>6349</v>
      </c>
      <c r="AC14" s="1165">
        <f t="shared" si="6"/>
        <v>143</v>
      </c>
      <c r="AD14" s="1165">
        <f t="shared" si="6"/>
        <v>0</v>
      </c>
      <c r="AE14" s="1169">
        <f t="shared" si="6"/>
        <v>0</v>
      </c>
      <c r="AF14" s="1162">
        <f t="shared" si="6"/>
        <v>0</v>
      </c>
      <c r="AG14" s="1170">
        <f t="shared" si="6"/>
        <v>0</v>
      </c>
      <c r="AH14" s="1167">
        <f t="shared" si="6"/>
        <v>0</v>
      </c>
      <c r="AI14" s="1162">
        <f t="shared" si="6"/>
        <v>210</v>
      </c>
      <c r="AJ14" s="1164">
        <f t="shared" si="6"/>
        <v>0</v>
      </c>
      <c r="AK14" s="1167">
        <f>SUBTOTAL(9,AK9:AK13)</f>
        <v>0</v>
      </c>
      <c r="AL14" s="1171">
        <f>IF(ISNUMBER(NºAsuntos!G14/NºAsuntos!E14),NºAsuntos!G14/NºAsuntos!E14," - ")</f>
        <v>0.92649903288201163</v>
      </c>
      <c r="AM14" s="1171">
        <f>IF(ISNUMBER(((NºAsuntos!I14/NºAsuntos!G14)*11)/factor_trimestre),((NºAsuntos!I14/NºAsuntos!G14)*11)/factor_trimestre," - ")</f>
        <v>5.2609603340292272</v>
      </c>
      <c r="AN14" s="1172">
        <f>IF(ISNUMBER('Resol  Asuntos'!D14/NºAsuntos!G14),'Resol  Asuntos'!D14/NºAsuntos!G14," - ")</f>
        <v>0.21920668058455114</v>
      </c>
      <c r="AO14" s="1173">
        <f>IF(ISNUMBER((NºAsuntos!C14+NºAsuntos!E14)/NºAsuntos!G14),(NºAsuntos!C14+NºAsuntos!E14)/NºAsuntos!G14," - ")</f>
        <v>3.6304801670146136</v>
      </c>
      <c r="AP14" s="1174" t="str">
        <f t="shared" si="2"/>
        <v xml:space="preserve"> - </v>
      </c>
      <c r="AQ14" s="1174">
        <f>IF(ISNUMBER((H14-W14+K14)/(F14)),(H14-W14+K14)/(F14)," - ")</f>
        <v>-0.28846153846153844</v>
      </c>
      <c r="AR14" s="1175">
        <f>IF(ISNUMBER((Datos!P14-Datos!Q14)/(Datos!R14-Datos!P14+Datos!Q14)),(Datos!P14-Datos!Q14)/(Datos!R14-Datos!P14+Datos!Q14)," - ")</f>
        <v>-9.6708781781313369E-3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701</v>
      </c>
      <c r="G17" s="373">
        <f>IF(ISNUMBER(IF(D_I="SI",Datos!I17,Datos!I17+Datos!AC17)),IF(D_I="SI",Datos!I17,Datos!I17+Datos!AC17)," - ")</f>
        <v>639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753</v>
      </c>
      <c r="X17" s="240">
        <f>IF(ISNUMBER(Datos!Q17),Datos!Q17," - ")</f>
        <v>28</v>
      </c>
      <c r="Y17" s="374">
        <f t="shared" ref="Y17:Y22" si="9">SUM(W17:X17)</f>
        <v>781</v>
      </c>
      <c r="Z17" s="375" t="str">
        <f>IF(ISNUMBER(Datos!CC17),Datos!CC17," - ")</f>
        <v xml:space="preserve"> - </v>
      </c>
      <c r="AA17" s="372">
        <f>IF(ISNUMBER(IF(D_I="SI",Datos!L17,Datos!L17+Datos!AF17)),IF(D_I="SI",Datos!L17,Datos!L17+Datos!AF17)," - ")</f>
        <v>706</v>
      </c>
      <c r="AB17" s="374">
        <f>IF(ISNUMBER(Datos!R17),Datos!R17," - ")</f>
        <v>190</v>
      </c>
      <c r="AC17" s="374">
        <f t="shared" si="8"/>
        <v>896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72</v>
      </c>
      <c r="AJ17" s="245" t="str">
        <f>IF(ISNUMBER(Datos!BW17),Datos!BW17," - ")</f>
        <v xml:space="preserve"> - </v>
      </c>
      <c r="AK17" s="246" t="str">
        <f>IF(ISNUMBER(Datos!BX17),Datos!BX17," - ")</f>
        <v xml:space="preserve"> - </v>
      </c>
      <c r="AL17" s="266">
        <f>IF(ISNUMBER(NºAsuntos!G17/NºAsuntos!E17),NºAsuntos!G17/NºAsuntos!E17," - ")</f>
        <v>0.99340369393139838</v>
      </c>
      <c r="AM17" s="284">
        <f>IF(ISNUMBER(((NºAsuntos!I17/NºAsuntos!G17)*11)/factor_trimestre),((NºAsuntos!I17/NºAsuntos!G17)*11)/factor_trimestre," - ")</f>
        <v>1.8751660026560424</v>
      </c>
      <c r="AN17" s="267">
        <f>IF(ISNUMBER('Resol  Asuntos'!D17/NºAsuntos!G17),'Resol  Asuntos'!D17/NºAsuntos!G17," - ")</f>
        <v>9.5617529880478086E-2</v>
      </c>
      <c r="AO17" s="268">
        <f>IF(ISNUMBER((NºAsuntos!C17+NºAsuntos!E17)/NºAsuntos!G17),(NºAsuntos!C17+NºAsuntos!E17)/NºAsuntos!G17," - ")</f>
        <v>1.8552456839309428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124</v>
      </c>
      <c r="X18" s="240">
        <f>IF(ISNUMBER(Datos!Q18),Datos!Q18," - ")</f>
        <v>0</v>
      </c>
      <c r="Y18" s="374">
        <f t="shared" si="9"/>
        <v>124</v>
      </c>
      <c r="Z18" s="375" t="str">
        <f>IF(ISNUMBER(Datos!CC18),Datos!CC18," - ")</f>
        <v xml:space="preserve"> - </v>
      </c>
      <c r="AA18" s="372">
        <f>IF(ISNUMBER(Datos!L18),Datos!L18,"-")</f>
        <v>75</v>
      </c>
      <c r="AB18" s="374">
        <f>IF(ISNUMBER(Datos!R18),Datos!R18," - ")</f>
        <v>0</v>
      </c>
      <c r="AC18" s="374">
        <f t="shared" si="8"/>
        <v>75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1.631578947368421</v>
      </c>
      <c r="AM18" s="284">
        <f>IF(ISNUMBER(((NºAsuntos!I18/NºAsuntos!G18)*11)/factor_trimestre),((NºAsuntos!I18/NºAsuntos!G18)*11)/factor_trimestre," - ")</f>
        <v>1.2096774193548387</v>
      </c>
      <c r="AN18" s="267">
        <f>IF(ISNUMBER('Resol  Asuntos'!D18/NºAsuntos!G18),'Resol  Asuntos'!D18/NºAsuntos!G18," - ")</f>
        <v>4.8387096774193547E-2</v>
      </c>
      <c r="AO18" s="268">
        <f>IF(ISNUMBER((NºAsuntos!C18+NºAsuntos!E18)/NºAsuntos!G18),(NºAsuntos!C18+NºAsuntos!E18)/NºAsuntos!G18," - ")</f>
        <v>1.6048387096774193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701</v>
      </c>
      <c r="G23" s="1163">
        <f>SUBTOTAL(9,G16:G22)</f>
        <v>762</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877</v>
      </c>
      <c r="X23" s="1164">
        <f t="shared" si="14"/>
        <v>28</v>
      </c>
      <c r="Y23" s="1165">
        <f t="shared" si="14"/>
        <v>905</v>
      </c>
      <c r="Z23" s="1165">
        <f t="shared" si="14"/>
        <v>0</v>
      </c>
      <c r="AA23" s="1165">
        <f t="shared" si="14"/>
        <v>781</v>
      </c>
      <c r="AB23" s="1165">
        <f t="shared" si="14"/>
        <v>190</v>
      </c>
      <c r="AC23" s="1165">
        <f t="shared" si="14"/>
        <v>971</v>
      </c>
      <c r="AD23" s="1165">
        <f t="shared" si="14"/>
        <v>0</v>
      </c>
      <c r="AE23" s="1169">
        <f t="shared" si="14"/>
        <v>0</v>
      </c>
      <c r="AF23" s="1162">
        <f t="shared" si="14"/>
        <v>0</v>
      </c>
      <c r="AG23" s="1170">
        <f t="shared" si="14"/>
        <v>0</v>
      </c>
      <c r="AH23" s="1167">
        <f t="shared" si="14"/>
        <v>0</v>
      </c>
      <c r="AI23" s="1162">
        <f t="shared" si="14"/>
        <v>78</v>
      </c>
      <c r="AJ23" s="1164">
        <f t="shared" si="14"/>
        <v>0</v>
      </c>
      <c r="AK23" s="1167">
        <f t="shared" si="14"/>
        <v>0</v>
      </c>
      <c r="AL23" s="1171">
        <f>IF(ISNUMBER(NºAsuntos!G23/NºAsuntos!E23),NºAsuntos!G23/NºAsuntos!E23," - ")</f>
        <v>1.0515587529976018</v>
      </c>
      <c r="AM23" s="1171">
        <f>IF(ISNUMBER(((NºAsuntos!I23/NºAsuntos!G23)*11)/factor_trimestre),((NºAsuntos!I23/NºAsuntos!G23)*11)/factor_trimestre," - ")</f>
        <v>1.7810718358038768</v>
      </c>
      <c r="AN23" s="1172">
        <f>IF(ISNUMBER('Resol  Asuntos'!D23/NºAsuntos!G23),'Resol  Asuntos'!D23/NºAsuntos!G23," - ")</f>
        <v>8.8939566704675024E-2</v>
      </c>
      <c r="AO23" s="1173">
        <f>IF(ISNUMBER((NºAsuntos!C23+NºAsuntos!E23)/NºAsuntos!G23),(NºAsuntos!C23+NºAsuntos!E23)/NºAsuntos!G23," - ")</f>
        <v>1.8198403648802737</v>
      </c>
      <c r="AP23" s="1174" t="str">
        <f t="shared" si="2"/>
        <v xml:space="preserve"> - </v>
      </c>
      <c r="AQ23" s="1174">
        <f>IF(ISNUMBER((H23-W23+K23)/(F23)),(H23-W23+K23)/(F23)," - ")</f>
        <v>-1.2510699001426533</v>
      </c>
      <c r="AR23" s="1175">
        <f>IF(ISNUMBER((Datos!P23-Datos!Q23)/(Datos!R23-Datos!P23+Datos!Q23)),(Datos!P23-Datos!Q23)/(Datos!R23-Datos!P23+Datos!Q23)," - ")</f>
        <v>-5.4726368159203981E-2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753</v>
      </c>
      <c r="G31" s="1118">
        <f t="shared" si="20"/>
        <v>814</v>
      </c>
      <c r="H31" s="1117">
        <f t="shared" si="20"/>
        <v>0</v>
      </c>
      <c r="I31" s="1119">
        <f t="shared" si="20"/>
        <v>0</v>
      </c>
      <c r="J31" s="1119">
        <f t="shared" si="20"/>
        <v>0</v>
      </c>
      <c r="K31" s="1180">
        <f t="shared" si="20"/>
        <v>0</v>
      </c>
      <c r="L31" s="1119">
        <f t="shared" si="20"/>
        <v>197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892</v>
      </c>
      <c r="X31" s="1118">
        <f t="shared" si="21"/>
        <v>270</v>
      </c>
      <c r="Y31" s="1125">
        <f t="shared" si="21"/>
        <v>1162</v>
      </c>
      <c r="Z31" s="1125">
        <f t="shared" si="21"/>
        <v>0</v>
      </c>
      <c r="AA31" s="1125">
        <f t="shared" si="21"/>
        <v>820</v>
      </c>
      <c r="AB31" s="1125">
        <f t="shared" si="21"/>
        <v>6539</v>
      </c>
      <c r="AC31" s="1125">
        <f t="shared" si="21"/>
        <v>1114</v>
      </c>
      <c r="AD31" s="1125">
        <f t="shared" si="21"/>
        <v>0</v>
      </c>
      <c r="AE31" s="1127">
        <f t="shared" si="21"/>
        <v>0</v>
      </c>
      <c r="AF31" s="1128">
        <f t="shared" si="21"/>
        <v>0</v>
      </c>
      <c r="AG31" s="1129">
        <f t="shared" si="21"/>
        <v>0</v>
      </c>
      <c r="AH31" s="1127">
        <f t="shared" si="21"/>
        <v>0</v>
      </c>
      <c r="AI31" s="1117">
        <f t="shared" si="21"/>
        <v>288</v>
      </c>
      <c r="AJ31" s="1117">
        <f t="shared" si="21"/>
        <v>0</v>
      </c>
      <c r="AK31" s="1127">
        <f t="shared" si="21"/>
        <v>0</v>
      </c>
      <c r="AL31" s="1183">
        <f>IF(ISNUMBER(NºAsuntos!G31/NºAsuntos!E31),NºAsuntos!G31/NºAsuntos!E31," - ")</f>
        <v>0.98233404710920769</v>
      </c>
      <c r="AM31" s="1184">
        <f>IF(ISNUMBER(((NºAsuntos!I31/NºAsuntos!G31)*11)/factor_trimestre),((NºAsuntos!I31/NºAsuntos!G31)*11)/factor_trimestre," - ")</f>
        <v>3.5978201634877389</v>
      </c>
      <c r="AN31" s="1184">
        <f>IF(ISNUMBER('Resol  Asuntos'!D31/NºAsuntos!G31),'Resol  Asuntos'!D31/NºAsuntos!G31," - ")</f>
        <v>0.1569482288828338</v>
      </c>
      <c r="AO31" s="1185">
        <f>IF(ISNUMBER((NºAsuntos!C31+NºAsuntos!E31)/NºAsuntos!G31),(NºAsuntos!C31+NºAsuntos!E31)/NºAsuntos!G31," - ")</f>
        <v>2.7651226158038149</v>
      </c>
      <c r="AP31" s="1186" t="str">
        <f t="shared" si="2"/>
        <v xml:space="preserve"> - </v>
      </c>
      <c r="AQ31" s="1187">
        <f>IF(OR(ISNUMBER(FIND("01",Criterios!A8,1)),ISNUMBER(FIND("02",Criterios!A8,1)),ISNUMBER(FIND("03",Criterios!A8,1)),ISNUMBER(FIND("04",Criterios!A8,1))),(I31-W31+K31)/(F31-K31),(H31-W31+K31)/(F31-K31))</f>
        <v>-1.1845949535192564</v>
      </c>
      <c r="AR31" s="1188">
        <f>IF(ISNUMBER((Datos!P31-Datos!Q31)/(Datos!R31-Datos!P31+Datos!Q31)),(Datos!P31-Datos!Q31)/(Datos!R31-Datos!P31+Datos!Q31)," - ")</f>
        <v>-1.1040532365396248E-2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232.57142857142858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349.34338407933245</v>
      </c>
      <c r="G33" s="277">
        <f>IF(ISNUMBER(STDEV(G8:G30)),STDEV(G8:G30),"-")</f>
        <v>324.26216612634965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386.71670447991966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86.9400450228284</v>
      </c>
      <c r="AJ33" s="276">
        <f t="shared" si="25"/>
        <v>0</v>
      </c>
      <c r="AK33" s="278">
        <f t="shared" si="25"/>
        <v>0</v>
      </c>
      <c r="AL33" s="273">
        <f t="shared" si="25"/>
        <v>2.6252054999832954</v>
      </c>
      <c r="AM33" s="274">
        <f t="shared" si="25"/>
        <v>1.9953734285859599</v>
      </c>
      <c r="AN33" s="274">
        <f t="shared" si="25"/>
        <v>0.30763895651202416</v>
      </c>
      <c r="AO33" s="275">
        <f t="shared" si="25"/>
        <v>1.0227008710046495</v>
      </c>
      <c r="AP33" s="317" t="str">
        <f t="shared" si="25"/>
        <v>-</v>
      </c>
      <c r="AQ33" s="318">
        <f t="shared" si="25"/>
        <v>0.68066690017158893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Hzv5McwS7KzQiE7DAKKWInYZnWa+uawjBRuXAaM54ktKMr5/wNIhTkxlrWgG5+No8NjZ/Cgdn+EeX/neaaDpw==" saltValue="KMeDuvM66knMIyRPe3oY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ELDA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-0.77777777777777779</v>
      </c>
      <c r="F10" s="393">
        <f>IF(ISNUMBER((Datos!K10-Datos!U10)/Datos!U10),(Datos!K10-Datos!U10)/Datos!U10," - ")</f>
        <v>2.75</v>
      </c>
      <c r="G10" s="394">
        <f>IF(ISNUMBER((Datos!L10-Datos!V10)/Datos!V10),(Datos!L10-Datos!V10)/Datos!V10," - ")</f>
        <v>-0.31578947368421051</v>
      </c>
      <c r="H10" s="244">
        <f>IF(ISNUMBER((Datos!M10-Datos!W10)/Datos!W10),(Datos!M10-Datos!W10)/Datos!W10," - ")</f>
        <v>2.25</v>
      </c>
      <c r="I10" s="395">
        <f>IF(ISNUMBER((Tasas!C10-Datos!BE10)/Datos!BE10),(Tasas!C10-Datos!BE10)/Datos!BE10," - ")</f>
        <v>-0.81754385964912279</v>
      </c>
      <c r="J10" s="394">
        <f>IF(ISNUMBER((Tasas!D10-Datos!BF10)/Datos!BF10),(Tasas!D10-Datos!BF10)/Datos!BF10," - ")</f>
        <v>-0.1333333333333333</v>
      </c>
      <c r="K10" s="396">
        <f>IF(ISNUMBER((Tasas!E10-Datos!BG10)/Datos!BG10),(Tasas!E10-Datos!BG10)/Datos!BG10," - ")</f>
        <v>-0.76393442622950825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0.60162601626016265</v>
      </c>
      <c r="I12" s="395">
        <f>IF(ISNUMBER((Tasas!C12-Datos!BE12)/Datos!BE12),(Tasas!C12-Datos!BE12)/Datos!BE12," - ")</f>
        <v>-6.3404121281820908E-2</v>
      </c>
      <c r="J12" s="394">
        <f>IF(ISNUMBER((Tasas!D12-Datos!BF12)/Datos!BF12),(Tasas!D12-Datos!BF12)/Datos!BF12," - ")</f>
        <v>-0.52734000308769302</v>
      </c>
      <c r="K12" s="396">
        <f>IF(ISNUMBER((Tasas!E12-Datos!BG12)/Datos!BG12),(Tasas!E12-Datos!BG12)/Datos!BG12," - ")</f>
        <v>-4.6758564102323201E-2</v>
      </c>
      <c r="M12" t="e">
        <f>IF(Monitorios="SI",Datos!CE12,0)</f>
        <v>#REF!</v>
      </c>
      <c r="N12" t="e">
        <f>IF(Monitorios="SI",Datos!CF12,0)</f>
        <v>#REF!</v>
      </c>
      <c r="O12" t="e">
        <f>IF(Monitorios="SI",Datos!CG12,0)</f>
        <v>#REF!</v>
      </c>
      <c r="P12" t="e">
        <f>IF(Monitorios="SI",Datos!CH12,0)</f>
        <v>#REF!</v>
      </c>
      <c r="Q12">
        <f>IF(J_V="SI",0,Datos!AG12)</f>
        <v>80</v>
      </c>
      <c r="R12">
        <f>IF(J_V="SI",0,Datos!AH12)</f>
        <v>106</v>
      </c>
      <c r="S12">
        <f>IF(J_V="SI",0,Datos!AI12)</f>
        <v>108</v>
      </c>
      <c r="T12">
        <f>IF(J_V="SI",0,Datos!AJ12)</f>
        <v>78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0.65354330708661412</v>
      </c>
      <c r="I14" s="402">
        <f>IF(ISNUMBER((Tasas!C14-Datos!BE14)/Datos!BE14),(Tasas!C14-Datos!BE14)/Datos!BE14," - ")</f>
        <v>-7.9331941544885251E-2</v>
      </c>
      <c r="J14" s="400">
        <f>IF(ISNUMBER((Tasas!D14-Datos!BF14)/Datos!BF14),(Tasas!D14-Datos!BF14)/Datos!BF14," - ")</f>
        <v>-0.50665541390900071</v>
      </c>
      <c r="K14" s="403">
        <f>IF(ISNUMBER((Tasas!E14-Datos!BG14)/Datos!BG14),(Tasas!E14-Datos!BG14)/Datos!BG14," - ")</f>
        <v>-5.8764401144359449E-2</v>
      </c>
      <c r="M14" t="e">
        <f>IF(Monitorios="SI",Datos!CE14,0)</f>
        <v>#REF!</v>
      </c>
      <c r="N14" t="e">
        <f>IF(Monitorios="SI",Datos!CF14,0)</f>
        <v>#REF!</v>
      </c>
      <c r="O14" t="e">
        <f>IF(Monitorios="SI",Datos!CG14,0)</f>
        <v>#REF!</v>
      </c>
      <c r="P14" t="e">
        <f>IF(Monitorios="SI",Datos!CH14,0)</f>
        <v>#REF!</v>
      </c>
      <c r="Q14">
        <f>IF(J_V="SI",0,Datos!AG14)</f>
        <v>80</v>
      </c>
      <c r="R14">
        <f>IF(J_V="SI",0,Datos!AH14)</f>
        <v>106</v>
      </c>
      <c r="S14">
        <f>IF(J_V="SI",0,Datos!AI14)</f>
        <v>108</v>
      </c>
      <c r="T14">
        <f>IF(J_V="SI",0,Datos!AJ14)</f>
        <v>78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-0.25350467289719625</v>
      </c>
      <c r="E17" s="393">
        <f>IF(ISNUMBER(
   IF(D_I="SI",(Datos!J17-Datos!T17)/Datos!T17,(Datos!J17+Datos!AD17-(Datos!T17+Datos!AL17))/(Datos!T17+Datos!AL17))
     ),IF(D_I="SI",(Datos!J17-Datos!T17)/Datos!T17,(Datos!J17+Datos!AD17-(Datos!T17+Datos!AL17))/(Datos!T17+Datos!AL17))," - ")</f>
        <v>6.6104078762306617E-2</v>
      </c>
      <c r="F17" s="393">
        <f>IF(ISNUMBER(
   IF(D_I="SI",(Datos!K17-Datos!U17)/Datos!U17,(Datos!K17+Datos!AE17-(Datos!U17+Datos!AM17))/(Datos!U17+Datos!AM17))
     ),IF(D_I="SI",(Datos!K17-Datos!U17)/Datos!U17,(Datos!K17+Datos!AE17-(Datos!U17+Datos!AM17))/(Datos!U17+Datos!AM17))," - ")</f>
        <v>0.18769716088328076</v>
      </c>
      <c r="G17" s="394">
        <f>IF(ISNUMBER(
   IF(D_I="SI",(Datos!L17-Datos!V17)/Datos!V17,(Datos!L17+Datos!AF17-(Datos!V17+Datos!AN17))/(Datos!V17+Datos!AN17))
     ),IF(D_I="SI",(Datos!L17-Datos!V17)/Datos!V17,(Datos!L17+Datos!AF17-(Datos!V17+Datos!AN17))/(Datos!V17+Datos!AN17))," - ")</f>
        <v>-0.26304801670146138</v>
      </c>
      <c r="H17" s="244">
        <f>IF(ISNUMBER((Datos!M17-Datos!W17)/Datos!W17),(Datos!M17-Datos!W17)/Datos!W17," - ")</f>
        <v>0.22033898305084745</v>
      </c>
      <c r="I17" s="395">
        <f>IF(ISNUMBER((Tasas!C17-Datos!BE17)/Datos!BE17),(Tasas!C17-Datos!BE17)/Datos!BE17," - ")</f>
        <v>-0.37951187594784391</v>
      </c>
      <c r="J17" s="394">
        <f>IF(ISNUMBER((Tasas!D17-Datos!BF17)/Datos!BF17),(Tasas!D17-Datos!BF17)/Datos!BF17," - ")</f>
        <v>2.7483287190222097E-2</v>
      </c>
      <c r="K17" s="396">
        <f>IF(ISNUMBER((Tasas!E17-Datos!BG17)/Datos!BG17),(Tasas!E17-Datos!BG17)/Datos!BG17," - ")</f>
        <v>-0.24937730465078645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1.6528925619834711E-2</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1.1016949152542372</v>
      </c>
      <c r="G18" s="394">
        <f>IF(ISNUMBER(
   IF(D_I="SI",(Datos!L18-Datos!V18)/Datos!V18,(Datos!L18+Datos!AF18-(Datos!V18+Datos!AN18))/(Datos!V18+Datos!AN18))
     ),IF(D_I="SI",(Datos!L18-Datos!V18)/Datos!V18,(Datos!L18+Datos!AF18-(Datos!V18+Datos!AN18))/(Datos!V18+Datos!AN18))," - ")</f>
        <v>-0.45652173913043476</v>
      </c>
      <c r="H18" s="244">
        <f>IF(ISNUMBER((Datos!M18-Datos!W18)/Datos!W18),(Datos!M18-Datos!W18)/Datos!W18," - ")</f>
        <v>-0.33333333333333331</v>
      </c>
      <c r="I18" s="395">
        <f>IF(ISNUMBER((Tasas!C18-Datos!BE18)/Datos!BE18),(Tasas!C18-Datos!BE18)/Datos!BE18," - ")</f>
        <v>-0.74140953716690039</v>
      </c>
      <c r="J18" s="394">
        <f>IF(ISNUMBER((Tasas!D18-Datos!BF18)/Datos!BF18),(Tasas!D18-Datos!BF18)/Datos!BF18," - ")</f>
        <v>-0.68279569892473124</v>
      </c>
      <c r="K18" s="396">
        <f>IF(ISNUMBER((Tasas!E18-Datos!BG18)/Datos!BG18),(Tasas!E18-Datos!BG18)/Datos!BG18," - ")</f>
        <v>-0.51936302603569673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-0.22006141248720573</v>
      </c>
      <c r="E23" s="399">
        <f>IF(ISNUMBER(
   IF(D_I="SI",(Datos!J23-Datos!T23)/Datos!T23,(Datos!J23+Datos!AD23-(Datos!T23+Datos!AL23))/(Datos!T23+Datos!AL23))
     ),IF(D_I="SI",(Datos!J23-Datos!T23)/Datos!T23,(Datos!J23+Datos!AD23-(Datos!T23+Datos!AL23))/(Datos!T23+Datos!AL23))," - ")</f>
        <v>5.9720457433290977E-2</v>
      </c>
      <c r="F23" s="399">
        <f>IF(ISNUMBER(
   IF(D_I="SI",(Datos!K23-Datos!U23)/Datos!U23,(Datos!K23+Datos!AE23-(Datos!U23+Datos!AM23))/(Datos!U23+Datos!AM23))
     ),IF(D_I="SI",(Datos!K23-Datos!U23)/Datos!U23,(Datos!K23+Datos!AE23-(Datos!U23+Datos!AM23))/(Datos!U23+Datos!AM23))," - ")</f>
        <v>0.26551226551226553</v>
      </c>
      <c r="G23" s="400">
        <f>IF(ISNUMBER(
   IF(D_I="SI",(Datos!L23-Datos!V23)/Datos!V23,(Datos!L23+Datos!AF23-(Datos!V23+Datos!AN23))/(Datos!V23+Datos!AN23))
     ),IF(D_I="SI",(Datos!L23-Datos!V23)/Datos!V23,(Datos!L23+Datos!AF23-(Datos!V23+Datos!AN23))/(Datos!V23+Datos!AN23))," - ")</f>
        <v>-0.28740875912408759</v>
      </c>
      <c r="H23" s="401">
        <f>IF(ISNUMBER((Datos!M23-Datos!W23)/Datos!W23),(Datos!M23-Datos!W23)/Datos!W23," - ")</f>
        <v>0.14705882352941177</v>
      </c>
      <c r="I23" s="402">
        <f>IF(ISNUMBER((Tasas!C23-Datos!BE23)/Datos!BE23),(Tasas!C23-Datos!BE23)/Datos!BE23," - ")</f>
        <v>-0.4369147891368218</v>
      </c>
      <c r="J23" s="400">
        <f>IF(ISNUMBER((Tasas!D23-Datos!BF23)/Datos!BF23),(Tasas!D23-Datos!BF23)/Datos!BF23," - ")</f>
        <v>-9.3601180495003086E-2</v>
      </c>
      <c r="K23" s="403">
        <f>IF(ISNUMBER((Tasas!E23-Datos!BG23)/Datos!BG23),(Tasas!E23-Datos!BG23)/Datos!BG23," - ")</f>
        <v>-0.28506271379703535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-0.15072847682119206</v>
      </c>
      <c r="E31" s="409">
        <f>IF(ISNUMBER(
   IF(J_V="SI",(Datos!J31-Datos!T31)/Datos!T31,(Datos!J31+Datos!Z31-(Datos!T31+Datos!AH31))/(Datos!T31+Datos!AH31))
     ),IF(J_V="SI",(Datos!J31-Datos!T31)/Datos!T31,(Datos!J31+Datos!Z31-(Datos!T31+Datos!AH31))/(Datos!T31+Datos!AH31))," - ")</f>
        <v>0.12462372065021071</v>
      </c>
      <c r="F31" s="409">
        <f>IF(ISNUMBER(
   IF(J_V="SI",(Datos!K31-Datos!U31)/Datos!U31,(Datos!K31+Datos!AA31-(Datos!U31+Datos!AI31))/(Datos!U31+Datos!AI31))
     ),IF(J_V="SI",(Datos!K31-Datos!U31)/Datos!U31,(Datos!K31+Datos!AA31-(Datos!U31+Datos!AI31))/(Datos!U31+Datos!AI31))," - ")</f>
        <v>0.11550151975683891</v>
      </c>
      <c r="G31" s="410">
        <f>IF(ISNUMBER(
   IF(J_V="SI",(Datos!L31-Datos!V31)/Datos!V31,(Datos!L31+Datos!AB31-(Datos!V31+Datos!AJ31))/(Datos!V31+Datos!AJ31))
     ),IF(J_V="SI",(Datos!L31-Datos!V31)/Datos!V31,(Datos!L31+Datos!AB31-(Datos!V31+Datos!AJ31))/(Datos!V31+Datos!AJ31))," - ")</f>
        <v>-0.134958071278826</v>
      </c>
      <c r="H31" s="411">
        <f>IF(ISNUMBER((Datos!M31-Datos!W31)/Datos!W31),(Datos!M31-Datos!W31)/Datos!W31," - ")</f>
        <v>0.47692307692307695</v>
      </c>
      <c r="I31" s="408">
        <f>IF(ISNUMBER((Tasas!C31-Datos!BE31)/Datos!BE31),(Tasas!C31-Datos!BE31)/Datos!BE31," - ")</f>
        <v>-0.2245264453698467</v>
      </c>
      <c r="J31" s="409">
        <f>IF(ISNUMBER((Tasas!D31-Datos!BF31)/Datos!BF31),(Tasas!D31-Datos!BF31)/Datos!BF31," - ")</f>
        <v>-0.47417548571840812</v>
      </c>
      <c r="K31" s="410">
        <f>IF(ISNUMBER((Tasas!E31-Datos!BG31)/Datos!BG31),(Tasas!E31-Datos!BG31)/Datos!BG31," - ")</f>
        <v>-0.16324012086142833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0.14229559430672117</v>
      </c>
      <c r="E33" s="303">
        <f t="shared" si="1"/>
        <v>0.41093949131537394</v>
      </c>
      <c r="F33" s="303">
        <f t="shared" si="1"/>
        <v>1.1900851966630166</v>
      </c>
      <c r="G33" s="304">
        <f t="shared" si="1"/>
        <v>8.661092301675187E-2</v>
      </c>
      <c r="H33" s="310">
        <f t="shared" si="1"/>
        <v>0.88827511684099869</v>
      </c>
      <c r="I33" s="302">
        <f t="shared" si="1"/>
        <v>0.31827201085865614</v>
      </c>
      <c r="J33" s="303">
        <f t="shared" si="1"/>
        <v>0.28854600709172151</v>
      </c>
      <c r="K33" s="304">
        <f t="shared" si="1"/>
        <v>0.27782538352997788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JYO0gWG+V6W/keY4AIKvcIeSVHm3+2FqFABiGV8gOGvqgcncrXfHXzJYOlAINy212E9SXUK8DlfoV/261GjEA==" saltValue="gYFK8DlxGJ+O0Y589nPQm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